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ЖКХ\2018\01.03.2018\"/>
    </mc:Choice>
  </mc:AlternateContent>
  <bookViews>
    <workbookView xWindow="0" yWindow="-15" windowWidth="10305" windowHeight="7140" tabRatio="757" activeTab="5"/>
  </bookViews>
  <sheets>
    <sheet name="тепло" sheetId="3" r:id="rId1"/>
    <sheet name="вода" sheetId="8" r:id="rId2"/>
    <sheet name="ЦПВХ" sheetId="13" r:id="rId3"/>
    <sheet name="ЦВ (з ВБС)" sheetId="14" r:id="rId4"/>
    <sheet name="стоки" sheetId="9" r:id="rId5"/>
    <sheet name="жилье" sheetId="4" r:id="rId6"/>
    <sheet name="жилье мое" sheetId="15" state="hidden" r:id="rId7"/>
  </sheets>
  <externalReferences>
    <externalReference r:id="rId8"/>
  </externalReferences>
  <definedNames>
    <definedName name="_xlnm.Print_Titles" localSheetId="5">жилье!$4:$5</definedName>
    <definedName name="_xlnm.Print_Area" localSheetId="1">вода!$A$1:$V$18</definedName>
    <definedName name="_xlnm.Print_Area" localSheetId="5">жилье!$A$1:$P$83</definedName>
    <definedName name="_xlnm.Print_Area" localSheetId="6">'жилье мое'!$A$1:$Q$130</definedName>
    <definedName name="_xlnm.Print_Area" localSheetId="4">стоки!$A$1:$T$19</definedName>
    <definedName name="_xlnm.Print_Area" localSheetId="0">тепло!$A$1:$X$21</definedName>
    <definedName name="_xlnm.Print_Area" localSheetId="3">'ЦВ (з ВБС)'!$A$1:$T$22</definedName>
    <definedName name="_xlnm.Print_Area" localSheetId="2">ЦПВХ!$A$1:$V$24</definedName>
  </definedNames>
  <calcPr calcId="152511"/>
</workbook>
</file>

<file path=xl/calcChain.xml><?xml version="1.0" encoding="utf-8"?>
<calcChain xmlns="http://schemas.openxmlformats.org/spreadsheetml/2006/main">
  <c r="K18" i="9" l="1"/>
  <c r="V13" i="3" l="1"/>
  <c r="O65" i="15" l="1"/>
  <c r="L65" i="15"/>
  <c r="K65" i="15"/>
  <c r="J65" i="15"/>
  <c r="P68" i="15"/>
  <c r="Q68" i="15"/>
  <c r="E65" i="15"/>
  <c r="L11" i="9" l="1"/>
  <c r="L17" i="14"/>
  <c r="L9" i="8"/>
  <c r="S21" i="14" l="1"/>
  <c r="R21" i="14"/>
  <c r="Q21" i="14"/>
  <c r="K83" i="4" l="1"/>
  <c r="J83" i="4"/>
  <c r="I83" i="4"/>
  <c r="H83" i="4"/>
  <c r="D83" i="4"/>
  <c r="C83" i="4"/>
  <c r="P44" i="15" l="1"/>
  <c r="D24" i="4" l="1"/>
  <c r="E24" i="4"/>
  <c r="F24" i="4"/>
  <c r="H24" i="4"/>
  <c r="I24" i="4"/>
  <c r="J24" i="4"/>
  <c r="K24" i="4"/>
  <c r="M24" i="4"/>
  <c r="C24" i="4"/>
  <c r="H42" i="15"/>
  <c r="G24" i="4" s="1"/>
  <c r="K16" i="8" l="1"/>
  <c r="P14" i="3" l="1"/>
  <c r="O14" i="3"/>
  <c r="P13" i="3" l="1"/>
  <c r="O13" i="3"/>
  <c r="V20" i="3" l="1"/>
  <c r="L16" i="9" l="1"/>
  <c r="L14" i="8"/>
  <c r="L15" i="9"/>
  <c r="L13" i="8"/>
  <c r="L10" i="8" l="1"/>
  <c r="P17" i="9"/>
  <c r="O17" i="9"/>
  <c r="K17" i="9"/>
  <c r="P16" i="9"/>
  <c r="O16" i="9"/>
  <c r="K16" i="9"/>
  <c r="P15" i="9"/>
  <c r="O15" i="9"/>
  <c r="K15" i="9"/>
  <c r="P14" i="9"/>
  <c r="O14" i="9"/>
  <c r="P12" i="9"/>
  <c r="O12" i="9"/>
  <c r="K12" i="9"/>
  <c r="P11" i="9"/>
  <c r="O11" i="9"/>
  <c r="K11" i="9"/>
  <c r="P22" i="14"/>
  <c r="O22" i="14"/>
  <c r="K22" i="14"/>
  <c r="P21" i="14"/>
  <c r="O21" i="14"/>
  <c r="K21" i="14"/>
  <c r="R22" i="13"/>
  <c r="Q22" i="13"/>
  <c r="K22" i="13"/>
  <c r="R21" i="13"/>
  <c r="Q21" i="13"/>
  <c r="K21" i="13"/>
  <c r="R15" i="8"/>
  <c r="Q15" i="8"/>
  <c r="K15" i="8"/>
  <c r="R13" i="8"/>
  <c r="Q13" i="8"/>
  <c r="R12" i="8"/>
  <c r="Q12" i="8"/>
  <c r="K12" i="8"/>
  <c r="R9" i="8" l="1"/>
  <c r="Q9" i="8"/>
  <c r="K9" i="8"/>
  <c r="S19" i="3"/>
  <c r="T16" i="3"/>
  <c r="S16" i="3"/>
  <c r="T15" i="3"/>
  <c r="T13" i="3"/>
  <c r="W13" i="3" s="1"/>
  <c r="T12" i="3"/>
  <c r="S12" i="3"/>
  <c r="M19" i="3"/>
  <c r="M15" i="3"/>
  <c r="M14" i="3"/>
  <c r="M13" i="3"/>
  <c r="M12" i="3"/>
  <c r="Q47" i="15" l="1"/>
  <c r="S17" i="14"/>
  <c r="R17" i="14"/>
  <c r="Q17" i="14"/>
  <c r="S22" i="13" l="1"/>
  <c r="W17" i="3"/>
  <c r="W12" i="3"/>
  <c r="Q67" i="15" l="1"/>
  <c r="P35" i="4" l="1"/>
  <c r="O32" i="4" l="1"/>
  <c r="O33" i="4"/>
  <c r="O35" i="4"/>
  <c r="O37" i="4"/>
  <c r="O38" i="4"/>
  <c r="O39" i="4"/>
  <c r="O40" i="4"/>
  <c r="O42" i="4"/>
  <c r="O43" i="4"/>
  <c r="O44" i="4"/>
  <c r="O45" i="4"/>
  <c r="O46" i="4"/>
  <c r="O48" i="4"/>
  <c r="O50" i="4"/>
  <c r="O51" i="4"/>
  <c r="O53" i="4"/>
  <c r="O54" i="4"/>
  <c r="O55" i="4"/>
  <c r="O56" i="4"/>
  <c r="O57" i="4"/>
  <c r="O58" i="4"/>
  <c r="O59" i="4"/>
  <c r="O60" i="4"/>
  <c r="O61" i="4"/>
  <c r="O63" i="4"/>
  <c r="O64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31" i="4"/>
  <c r="O26" i="4"/>
  <c r="K80" i="4" l="1"/>
  <c r="J80" i="4"/>
  <c r="I80" i="4"/>
  <c r="H80" i="4"/>
  <c r="C80" i="4"/>
  <c r="H65" i="15"/>
  <c r="D80" i="4"/>
  <c r="G80" i="4" l="1"/>
  <c r="O80" i="4" s="1"/>
  <c r="G83" i="4"/>
  <c r="B65" i="15"/>
  <c r="B80" i="4" l="1"/>
  <c r="B83" i="4"/>
  <c r="K13" i="8"/>
  <c r="S20" i="13" l="1"/>
  <c r="AE46" i="15"/>
  <c r="AE47" i="15"/>
  <c r="P80" i="4"/>
  <c r="AE127" i="15" l="1"/>
  <c r="AE126" i="15"/>
  <c r="AE125" i="15"/>
  <c r="AE124" i="15"/>
  <c r="AE123" i="15"/>
  <c r="AE122" i="15"/>
  <c r="AE121" i="15"/>
  <c r="AE120" i="15"/>
  <c r="AE119" i="15"/>
  <c r="AE118" i="15"/>
  <c r="AE117" i="15"/>
  <c r="AE116" i="15"/>
  <c r="AE115" i="15"/>
  <c r="AE114" i="15"/>
  <c r="AD113" i="15"/>
  <c r="AC113" i="15"/>
  <c r="AB113" i="15"/>
  <c r="AA113" i="15"/>
  <c r="Z113" i="15"/>
  <c r="Y113" i="15"/>
  <c r="X113" i="15"/>
  <c r="W113" i="15"/>
  <c r="V113" i="15"/>
  <c r="U113" i="15"/>
  <c r="T113" i="15"/>
  <c r="B113" i="15"/>
  <c r="AE112" i="15"/>
  <c r="AE111" i="15"/>
  <c r="AE110" i="15"/>
  <c r="AB109" i="15"/>
  <c r="AE109" i="15" s="1"/>
  <c r="AA109" i="15"/>
  <c r="Z109" i="15"/>
  <c r="B109" i="15"/>
  <c r="AE108" i="15"/>
  <c r="AE107" i="15"/>
  <c r="AE106" i="15"/>
  <c r="AE105" i="15"/>
  <c r="AE104" i="15"/>
  <c r="AE103" i="15"/>
  <c r="AC102" i="15"/>
  <c r="AB102" i="15"/>
  <c r="AA102" i="15"/>
  <c r="Z102" i="15"/>
  <c r="Y102" i="15"/>
  <c r="X102" i="15"/>
  <c r="W102" i="15"/>
  <c r="V102" i="15"/>
  <c r="U102" i="15"/>
  <c r="T102" i="15"/>
  <c r="B102" i="15"/>
  <c r="AE101" i="15"/>
  <c r="AE100" i="15"/>
  <c r="AE99" i="15"/>
  <c r="AE98" i="15"/>
  <c r="AC97" i="15"/>
  <c r="AB97" i="15"/>
  <c r="AE97" i="15" s="1"/>
  <c r="AA97" i="15"/>
  <c r="Z97" i="15"/>
  <c r="Y97" i="15"/>
  <c r="X97" i="15"/>
  <c r="W97" i="15"/>
  <c r="V97" i="15"/>
  <c r="U97" i="15"/>
  <c r="T97" i="15"/>
  <c r="B97" i="15"/>
  <c r="AE96" i="15"/>
  <c r="AE95" i="15"/>
  <c r="AE94" i="15"/>
  <c r="AE93" i="15"/>
  <c r="AE92" i="15"/>
  <c r="AE91" i="15"/>
  <c r="AE90" i="15"/>
  <c r="AE89" i="15"/>
  <c r="AE88" i="15"/>
  <c r="AE87" i="15"/>
  <c r="AB86" i="15"/>
  <c r="B86" i="15"/>
  <c r="AE85" i="15"/>
  <c r="AE84" i="15"/>
  <c r="AE83" i="15"/>
  <c r="AE82" i="15"/>
  <c r="AE81" i="15"/>
  <c r="AE80" i="15"/>
  <c r="AE79" i="15"/>
  <c r="AE78" i="15"/>
  <c r="AE77" i="15"/>
  <c r="AE76" i="15"/>
  <c r="AE75" i="15"/>
  <c r="AE67" i="15"/>
  <c r="P67" i="15"/>
  <c r="AE66" i="15"/>
  <c r="Q66" i="15"/>
  <c r="P66" i="15"/>
  <c r="AB65" i="15"/>
  <c r="I65" i="15"/>
  <c r="G65" i="15"/>
  <c r="F65" i="15"/>
  <c r="D65" i="15"/>
  <c r="C65" i="15"/>
  <c r="AE65" i="15"/>
  <c r="AE64" i="15"/>
  <c r="Q64" i="15"/>
  <c r="P64" i="15"/>
  <c r="AE63" i="15"/>
  <c r="Q63" i="15"/>
  <c r="P63" i="15"/>
  <c r="Q62" i="15"/>
  <c r="P62" i="15"/>
  <c r="AE61" i="15"/>
  <c r="Q61" i="15"/>
  <c r="P61" i="15"/>
  <c r="AE60" i="15"/>
  <c r="Q60" i="15"/>
  <c r="P60" i="15"/>
  <c r="AE59" i="15"/>
  <c r="Q59" i="15"/>
  <c r="P59" i="15"/>
  <c r="AE58" i="15"/>
  <c r="Q58" i="15"/>
  <c r="P58" i="15"/>
  <c r="AE57" i="15"/>
  <c r="Q57" i="15"/>
  <c r="P57" i="15"/>
  <c r="AE56" i="15"/>
  <c r="Q56" i="15"/>
  <c r="P56" i="15"/>
  <c r="AE55" i="15"/>
  <c r="Q55" i="15"/>
  <c r="P55" i="15"/>
  <c r="AE54" i="15"/>
  <c r="Q54" i="15"/>
  <c r="P54" i="15"/>
  <c r="AE53" i="15"/>
  <c r="Q53" i="15"/>
  <c r="P53" i="15"/>
  <c r="Q52" i="15"/>
  <c r="P52" i="15"/>
  <c r="AE51" i="15"/>
  <c r="Q51" i="15"/>
  <c r="P51" i="15"/>
  <c r="AE50" i="15"/>
  <c r="Q50" i="15"/>
  <c r="P50" i="15"/>
  <c r="AE49" i="15"/>
  <c r="Q49" i="15"/>
  <c r="P49" i="15"/>
  <c r="AE48" i="15"/>
  <c r="Q48" i="15"/>
  <c r="P48" i="15"/>
  <c r="P47" i="15"/>
  <c r="Q46" i="15"/>
  <c r="P46" i="15"/>
  <c r="AE45" i="15"/>
  <c r="Q45" i="15"/>
  <c r="AE44" i="15"/>
  <c r="Q44" i="15"/>
  <c r="AE43" i="15"/>
  <c r="Q43" i="15"/>
  <c r="P43" i="15"/>
  <c r="AB42" i="15"/>
  <c r="AA42" i="15"/>
  <c r="Z42" i="15"/>
  <c r="Y42" i="15"/>
  <c r="X42" i="15"/>
  <c r="W42" i="15"/>
  <c r="V42" i="15"/>
  <c r="U42" i="15"/>
  <c r="T42" i="15"/>
  <c r="O42" i="15"/>
  <c r="N24" i="4" s="1"/>
  <c r="B42" i="15"/>
  <c r="AE41" i="15"/>
  <c r="AE40" i="15"/>
  <c r="AE39" i="15"/>
  <c r="AE38" i="15"/>
  <c r="AE37" i="15"/>
  <c r="AE36" i="15"/>
  <c r="AE35" i="15"/>
  <c r="AB34" i="15"/>
  <c r="AE34" i="15" s="1"/>
  <c r="B34" i="15"/>
  <c r="AE33" i="15"/>
  <c r="AE31" i="15"/>
  <c r="AE30" i="15"/>
  <c r="AE29" i="15"/>
  <c r="AE27" i="15"/>
  <c r="AE26" i="15"/>
  <c r="AE25" i="15"/>
  <c r="AB24" i="15"/>
  <c r="B24" i="15"/>
  <c r="AE23" i="15"/>
  <c r="AE22" i="15"/>
  <c r="AE21" i="15"/>
  <c r="AE20" i="15"/>
  <c r="AE19" i="15"/>
  <c r="AE18" i="15"/>
  <c r="AE17" i="15"/>
  <c r="AE16" i="15"/>
  <c r="AE15" i="15"/>
  <c r="AE14" i="15"/>
  <c r="AE13" i="15"/>
  <c r="AE12" i="15"/>
  <c r="AE11" i="15"/>
  <c r="AE10" i="15"/>
  <c r="AE9" i="15"/>
  <c r="AE8" i="15"/>
  <c r="AE7" i="15"/>
  <c r="AE6" i="15"/>
  <c r="P65" i="15" l="1"/>
  <c r="O83" i="4" s="1"/>
  <c r="N83" i="4"/>
  <c r="F80" i="4"/>
  <c r="F83" i="4"/>
  <c r="E80" i="4"/>
  <c r="E83" i="4"/>
  <c r="B25" i="4"/>
  <c r="B24" i="4"/>
  <c r="AE24" i="15"/>
  <c r="AE86" i="15"/>
  <c r="AE102" i="15"/>
  <c r="AE113" i="15"/>
  <c r="P42" i="15"/>
  <c r="AE42" i="15"/>
  <c r="Q42" i="15"/>
  <c r="Q65" i="15"/>
  <c r="P83" i="4" s="1"/>
  <c r="O25" i="4" l="1"/>
  <c r="O24" i="4"/>
  <c r="P25" i="4"/>
  <c r="P24" i="4"/>
  <c r="S11" i="9"/>
  <c r="R11" i="9"/>
  <c r="Q11" i="9"/>
  <c r="U17" i="13"/>
  <c r="T17" i="13"/>
  <c r="S17" i="13"/>
  <c r="U9" i="8"/>
  <c r="T9" i="8"/>
  <c r="S9" i="8"/>
  <c r="U17" i="3"/>
  <c r="W15" i="3"/>
  <c r="S17" i="9" l="1"/>
  <c r="R17" i="9"/>
  <c r="R16" i="9"/>
  <c r="S16" i="9"/>
  <c r="Q17" i="9"/>
  <c r="S22" i="14"/>
  <c r="R22" i="14"/>
  <c r="Q22" i="14"/>
  <c r="U22" i="13"/>
  <c r="T22" i="13"/>
  <c r="T21" i="13" l="1"/>
  <c r="U21" i="13"/>
  <c r="S21" i="13"/>
  <c r="S15" i="8"/>
  <c r="K15" i="3" l="1"/>
  <c r="T14" i="3"/>
  <c r="W14" i="3" s="1"/>
  <c r="K14" i="3"/>
  <c r="U14" i="3" s="1"/>
  <c r="W21" i="3" l="1"/>
  <c r="V21" i="3"/>
  <c r="U21" i="3"/>
  <c r="S15" i="3" l="1"/>
  <c r="V17" i="3" l="1"/>
  <c r="S14" i="3" l="1"/>
  <c r="V14" i="3" s="1"/>
  <c r="U16" i="8" l="1"/>
  <c r="T16" i="8"/>
  <c r="U15" i="8" l="1"/>
  <c r="T15" i="8"/>
  <c r="S18" i="9" l="1"/>
  <c r="R18" i="9"/>
  <c r="Q18" i="9"/>
  <c r="S16" i="8"/>
  <c r="O19" i="9"/>
  <c r="P19" i="9"/>
  <c r="R17" i="8"/>
  <c r="Q17" i="8"/>
  <c r="K17" i="8"/>
  <c r="S17" i="8" s="1"/>
  <c r="K19" i="3" l="1"/>
  <c r="K13" i="3" l="1"/>
  <c r="U13" i="3" s="1"/>
  <c r="S20" i="14" l="1"/>
  <c r="R20" i="14"/>
  <c r="Q20" i="14"/>
  <c r="U20" i="13"/>
  <c r="T20" i="13"/>
  <c r="S13" i="8" l="1"/>
  <c r="K19" i="9" l="1"/>
  <c r="Q19" i="9" s="1"/>
  <c r="K12" i="3" l="1"/>
  <c r="U12" i="3" s="1"/>
  <c r="R10" i="8" l="1"/>
  <c r="Q10" i="8"/>
  <c r="K10" i="8"/>
  <c r="S19" i="14" l="1"/>
  <c r="R19" i="14"/>
  <c r="Q19" i="14"/>
  <c r="S18" i="14"/>
  <c r="R18" i="14"/>
  <c r="Q18" i="14"/>
  <c r="S16" i="14"/>
  <c r="R16" i="14"/>
  <c r="Q16" i="14"/>
  <c r="S15" i="14"/>
  <c r="R15" i="14"/>
  <c r="Q15" i="14"/>
  <c r="S14" i="14"/>
  <c r="R14" i="14"/>
  <c r="Q14" i="14"/>
  <c r="S13" i="14"/>
  <c r="R13" i="14"/>
  <c r="Q13" i="14"/>
  <c r="S12" i="14"/>
  <c r="R12" i="14"/>
  <c r="Q12" i="14"/>
  <c r="S11" i="14"/>
  <c r="R11" i="14"/>
  <c r="Q11" i="14"/>
  <c r="S10" i="14"/>
  <c r="Q10" i="14"/>
  <c r="U19" i="13"/>
  <c r="T19" i="13"/>
  <c r="S19" i="13"/>
  <c r="U18" i="13"/>
  <c r="T18" i="13"/>
  <c r="S18" i="13"/>
  <c r="N17" i="13"/>
  <c r="U16" i="13"/>
  <c r="T16" i="13"/>
  <c r="S16" i="13"/>
  <c r="U15" i="13"/>
  <c r="T15" i="13"/>
  <c r="S15" i="13"/>
  <c r="U14" i="13"/>
  <c r="T14" i="13"/>
  <c r="S14" i="13"/>
  <c r="U13" i="13"/>
  <c r="T13" i="13"/>
  <c r="S13" i="13"/>
  <c r="U12" i="13"/>
  <c r="T12" i="13"/>
  <c r="S12" i="13"/>
  <c r="U11" i="13"/>
  <c r="T11" i="13"/>
  <c r="S11" i="13"/>
  <c r="U10" i="13"/>
  <c r="S10" i="13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4" i="4"/>
  <c r="P63" i="4"/>
  <c r="P61" i="4"/>
  <c r="P60" i="4"/>
  <c r="P59" i="4"/>
  <c r="P57" i="4"/>
  <c r="P56" i="4"/>
  <c r="P54" i="4"/>
  <c r="P53" i="4"/>
  <c r="P51" i="4"/>
  <c r="P50" i="4"/>
  <c r="P48" i="4"/>
  <c r="P45" i="4"/>
  <c r="P43" i="4"/>
  <c r="P42" i="4"/>
  <c r="P40" i="4"/>
  <c r="P39" i="4"/>
  <c r="P38" i="4"/>
  <c r="P36" i="4"/>
  <c r="P33" i="4"/>
  <c r="P32" i="4"/>
  <c r="P31" i="4"/>
  <c r="P29" i="4"/>
  <c r="O29" i="4"/>
  <c r="P28" i="4"/>
  <c r="O28" i="4"/>
  <c r="P26" i="4"/>
  <c r="P23" i="4"/>
  <c r="O23" i="4"/>
  <c r="P22" i="4"/>
  <c r="O22" i="4"/>
  <c r="P21" i="4"/>
  <c r="O21" i="4"/>
  <c r="P20" i="4"/>
  <c r="O20" i="4"/>
  <c r="P18" i="4"/>
  <c r="O18" i="4"/>
  <c r="P16" i="4"/>
  <c r="O16" i="4"/>
  <c r="P14" i="4"/>
  <c r="O14" i="4"/>
  <c r="P13" i="4"/>
  <c r="O13" i="4"/>
  <c r="P11" i="4"/>
  <c r="O11" i="4"/>
  <c r="P10" i="4"/>
  <c r="O10" i="4"/>
  <c r="P8" i="4"/>
  <c r="O8" i="4"/>
  <c r="A2" i="8" l="1"/>
  <c r="Q16" i="9"/>
  <c r="R15" i="9"/>
  <c r="Q15" i="9"/>
  <c r="R14" i="9"/>
  <c r="S13" i="9"/>
  <c r="R13" i="9"/>
  <c r="Q13" i="9"/>
  <c r="S12" i="9"/>
  <c r="R12" i="9"/>
  <c r="Q12" i="9"/>
  <c r="Q14" i="9"/>
  <c r="S14" i="9"/>
  <c r="S15" i="9"/>
  <c r="R19" i="9"/>
  <c r="S19" i="9"/>
  <c r="U14" i="8"/>
  <c r="T14" i="8"/>
  <c r="T13" i="8"/>
  <c r="U12" i="8"/>
  <c r="S12" i="8"/>
  <c r="U11" i="8"/>
  <c r="T10" i="8"/>
  <c r="S10" i="8"/>
  <c r="U10" i="8"/>
  <c r="S11" i="8"/>
  <c r="T11" i="8"/>
  <c r="T12" i="8"/>
  <c r="U13" i="8"/>
  <c r="S14" i="8"/>
  <c r="T17" i="8"/>
  <c r="U17" i="8"/>
  <c r="W16" i="3"/>
  <c r="V19" i="3"/>
  <c r="V16" i="3"/>
  <c r="V15" i="3"/>
  <c r="U15" i="3"/>
  <c r="W19" i="3"/>
  <c r="V18" i="3"/>
  <c r="U19" i="3"/>
  <c r="V12" i="3" l="1"/>
  <c r="U8" i="8" l="1"/>
  <c r="A3" i="9" l="1"/>
  <c r="A3" i="4" s="1"/>
  <c r="Q10" i="9"/>
  <c r="S10" i="9"/>
  <c r="S8" i="8"/>
  <c r="U9" i="3"/>
  <c r="W9" i="3"/>
  <c r="U10" i="3"/>
  <c r="W10" i="3"/>
  <c r="U11" i="3"/>
  <c r="W11" i="3"/>
</calcChain>
</file>

<file path=xl/sharedStrings.xml><?xml version="1.0" encoding="utf-8"?>
<sst xmlns="http://schemas.openxmlformats.org/spreadsheetml/2006/main" count="768" uniqueCount="464">
  <si>
    <t>Населений пункт
Назва підприємства</t>
  </si>
  <si>
    <t>Фактична собівартість за останній звітний період (без ПДВ), грн/м куб.</t>
  </si>
  <si>
    <t>Розрахункові (планові) тарифи без ПДВ, грн/м куб.</t>
  </si>
  <si>
    <t>Затверджені  тарифи з ПДВ, грн.</t>
  </si>
  <si>
    <t xml:space="preserve">Рівень відшкодування,   %                            </t>
  </si>
  <si>
    <t>для населення</t>
  </si>
  <si>
    <t xml:space="preserve"> для комерційних споживачів, грн./м куб.</t>
  </si>
  <si>
    <t xml:space="preserve"> затвердженим тарифом для населення фактичної вартості  послуг для населення  </t>
  </si>
  <si>
    <t xml:space="preserve"> затвердженим тарифом для комерційних споживачів фактичної вартості  послуг для комерційних споживачів  </t>
  </si>
  <si>
    <t xml:space="preserve">середньозваженим тарифом (без ПДВ)  середньої фактичної собівартості послуг </t>
  </si>
  <si>
    <t>собівартість</t>
  </si>
  <si>
    <t>інвестиційна складова</t>
  </si>
  <si>
    <t>на 1 м куб води</t>
  </si>
  <si>
    <t xml:space="preserve">на 1 особу в місяць </t>
  </si>
  <si>
    <t>режим водопостачання, год./добу</t>
  </si>
  <si>
    <t>дата введення тарифу</t>
  </si>
  <si>
    <t>населення</t>
  </si>
  <si>
    <t>комерційні споживачі</t>
  </si>
  <si>
    <t>м.Лисичанськ  "Водоканал"</t>
  </si>
  <si>
    <t>м.Рубіжне ВУВКГ</t>
  </si>
  <si>
    <t>м. Северодонецьк             ТАУН СЕРВИС</t>
  </si>
  <si>
    <t>м.Щастя                                                                                                    КП "Жилбудсервіс"</t>
  </si>
  <si>
    <t>м.Кремінна ВУВКГ</t>
  </si>
  <si>
    <t xml:space="preserve"> для комерційних споживачів,                                                 грн./м куб.</t>
  </si>
  <si>
    <t>на 1 м куб стоків</t>
  </si>
  <si>
    <t xml:space="preserve"> </t>
  </si>
  <si>
    <t>Розрахункові (планові) тарифи  без ПДВ, грн/Гкал</t>
  </si>
  <si>
    <t xml:space="preserve">тариф на теплову енергію для комерційних споживачів,                             грн./Гкал  </t>
  </si>
  <si>
    <t xml:space="preserve">тариф на теплову енергію,
грн./Гкал </t>
  </si>
  <si>
    <t>тариф на опалення,
грн/м кв. площі</t>
  </si>
  <si>
    <t>тариф на гаряче водопостачання, грн.</t>
  </si>
  <si>
    <t xml:space="preserve">вид тарифу  (сезоний,
двоставковий, єдиний) </t>
  </si>
  <si>
    <t>розмір тарифу</t>
  </si>
  <si>
    <t>вид тарифу (підігрів, ГВП)</t>
  </si>
  <si>
    <t>на 1 особу в місяць</t>
  </si>
  <si>
    <t>м.Луганськ  "Теплокомуненерго"</t>
  </si>
  <si>
    <t>двоставковий</t>
  </si>
  <si>
    <t>1,43/4,71</t>
  </si>
  <si>
    <t>гвп</t>
  </si>
  <si>
    <t>м.Алчевськ "Теплокомуненерго"</t>
  </si>
  <si>
    <t>сезон</t>
  </si>
  <si>
    <t>м.Антрацит "Теплокомуненерго"</t>
  </si>
  <si>
    <t>підігрів</t>
  </si>
  <si>
    <t>сезонний</t>
  </si>
  <si>
    <t>сезоний</t>
  </si>
  <si>
    <t>Станиця-Луганська КП "Теплосервіс"</t>
  </si>
  <si>
    <t>КП "Сватове- тепло"</t>
  </si>
  <si>
    <t>Фактична середня собівартість за останній звітний період (без ПДВ), грн/м кв.</t>
  </si>
  <si>
    <t>Розрахункові (планові) тарифи  без ПДВ, грн/м кв.</t>
  </si>
  <si>
    <t>Середньозважений затверджений тариф 
без ПДВ, грн./м кв.</t>
  </si>
  <si>
    <t xml:space="preserve">Рівень відшкодування середньозваженим затвердженим тарифом без ПДВ,   %                            </t>
  </si>
  <si>
    <t>7-9-ти поверхові будинки з ліфтом</t>
  </si>
  <si>
    <t>5-ти поверхові  будинки  благоустроєні без ліфта</t>
  </si>
  <si>
    <t>Частково благоустроєні будинки</t>
  </si>
  <si>
    <t>Неблагоустроєні будинки</t>
  </si>
  <si>
    <t>Середньозважений плановий тариф</t>
  </si>
  <si>
    <t>5-ти поверхові будинки  благоустроєні без ліфта</t>
  </si>
  <si>
    <t>Дата введення тарифів</t>
  </si>
  <si>
    <t>Середньозваженого планового тарифу</t>
  </si>
  <si>
    <t xml:space="preserve">фактичної середньої собівартості послуг </t>
  </si>
  <si>
    <t>квартплата</t>
  </si>
  <si>
    <t>1,29 / 2,16</t>
  </si>
  <si>
    <t>2,0 / 2,62</t>
  </si>
  <si>
    <t>1,86 / 1,98</t>
  </si>
  <si>
    <t>0,01 / 0,38</t>
  </si>
  <si>
    <t>вивіз та утилізація          ТПВ</t>
  </si>
  <si>
    <t>1,43 / 2,21</t>
  </si>
  <si>
    <t>0,86/ 1,80</t>
  </si>
  <si>
    <t>0,77/ 2,08</t>
  </si>
  <si>
    <t>0,53/ 1,31</t>
  </si>
  <si>
    <t>1,15 / 1,955</t>
  </si>
  <si>
    <t>0,648 / 1,303</t>
  </si>
  <si>
    <t>0,102 / 1,298</t>
  </si>
  <si>
    <t>09.06.2013 16.04.2011 17.06.2011</t>
  </si>
  <si>
    <t>2,47 / 2,56</t>
  </si>
  <si>
    <t>1,79 /1,90</t>
  </si>
  <si>
    <t>1,14 / 1,87</t>
  </si>
  <si>
    <t xml:space="preserve"> Красный Луч РЕК </t>
  </si>
  <si>
    <t>2,01 / 2,39</t>
  </si>
  <si>
    <t>1,22/ 1,324</t>
  </si>
  <si>
    <t>0,349 / 1,361</t>
  </si>
  <si>
    <t>ККП Вахрушево</t>
  </si>
  <si>
    <t>1,35 / 1,66</t>
  </si>
  <si>
    <t>Лисичанськ</t>
  </si>
  <si>
    <t>1,15 / 1,29</t>
  </si>
  <si>
    <t>1,22 / 1,35</t>
  </si>
  <si>
    <t>1,08/ 1,21</t>
  </si>
  <si>
    <t>Рубіжне</t>
  </si>
  <si>
    <t>тех. обслуг. ліфтів</t>
  </si>
  <si>
    <t>Сєвєродонецьк</t>
  </si>
  <si>
    <t>0,682 /0,79</t>
  </si>
  <si>
    <t>0,084 / 0,454</t>
  </si>
  <si>
    <t>01.02.2012 та 01.03.2008</t>
  </si>
  <si>
    <t>Кремінна</t>
  </si>
  <si>
    <t>1,82 / 2,85</t>
  </si>
  <si>
    <t>1,9 / 2,80</t>
  </si>
  <si>
    <t>0,8 / 1,22</t>
  </si>
  <si>
    <t>0,26 /0,54</t>
  </si>
  <si>
    <t>Новоайдар</t>
  </si>
  <si>
    <t>вивіз та утилізація          ТПВ (з 1 люд.)</t>
  </si>
  <si>
    <t>0,337/  0,42</t>
  </si>
  <si>
    <t>1,082 /1,146</t>
  </si>
  <si>
    <t>1,13/ 1,84</t>
  </si>
  <si>
    <t>0,52/ 0,96</t>
  </si>
  <si>
    <t>Новопсков</t>
  </si>
  <si>
    <t>ОКП "Компания Лугансквода"</t>
  </si>
  <si>
    <t>1,57/ 2,14</t>
  </si>
  <si>
    <t>05/ 1,39</t>
  </si>
  <si>
    <t>0,25/ 0,69</t>
  </si>
  <si>
    <t>0,63 / 1,27</t>
  </si>
  <si>
    <t>0,88 /1,48</t>
  </si>
  <si>
    <t>0,86 /1,5</t>
  </si>
  <si>
    <t>0,55/ 0,62</t>
  </si>
  <si>
    <t>0,1495/ 1,6701</t>
  </si>
  <si>
    <t>0,18 /0,79</t>
  </si>
  <si>
    <t>0,02 / 0,156</t>
  </si>
  <si>
    <t>01.06.2013 - 01.08.2008</t>
  </si>
  <si>
    <t>0,897/ 1,318</t>
  </si>
  <si>
    <t>Миусинск КП Прогресс</t>
  </si>
  <si>
    <t>вивіз та утилізація    Миусинск КП Прогресс</t>
  </si>
  <si>
    <t>КП "Щастинская єнергетическая тепловая компания"</t>
  </si>
  <si>
    <t>0,4547/ 1,791</t>
  </si>
  <si>
    <t>15.02.2013 та 07.06.2014</t>
  </si>
  <si>
    <t>Фактична собівартість за останній звітний період (без ПДВ), грн/Гкал</t>
  </si>
  <si>
    <t>Інформація  про тарифи на централізоване  водовідведення 
по  Луганській області</t>
  </si>
  <si>
    <t>Інформація  про тарифи на послуги теплопостачання 
по  Луганській області</t>
  </si>
  <si>
    <t>Інформація  про тарифи на послуги з утримання будинків і споруд та прибудинкових територій
по  Луганській області</t>
  </si>
  <si>
    <t>бюджет</t>
  </si>
  <si>
    <t xml:space="preserve">бюджет </t>
  </si>
  <si>
    <t>Дата та номер рішення  уповноваженого органу  (зазначити0 про встановлення тарифів</t>
  </si>
  <si>
    <t>3-а</t>
  </si>
  <si>
    <t>5-а</t>
  </si>
  <si>
    <t>7-а</t>
  </si>
  <si>
    <t xml:space="preserve">тариф на теплову енергію для бюджетних  споживачів,                             грн./Гкал  </t>
  </si>
  <si>
    <t>16-а</t>
  </si>
  <si>
    <t>18-а</t>
  </si>
  <si>
    <t xml:space="preserve"> затвердженим тарифом для бюджетних споживачів фактичної вартості  послуг для бюджетних  споживачів  </t>
  </si>
  <si>
    <t xml:space="preserve"> для бюджетних  споживачів,                                                 грн./м куб.</t>
  </si>
  <si>
    <t>12-а</t>
  </si>
  <si>
    <t xml:space="preserve"> затвердженим тарифом для бюджетних споживачів фактичної вартості  послуг для бюджетних споживачів  </t>
  </si>
  <si>
    <t>14-а</t>
  </si>
  <si>
    <t xml:space="preserve"> для бюджетних споживачів, грн./м куб.</t>
  </si>
  <si>
    <t>м. Старобільськ РКП "Старобільськвода"</t>
  </si>
  <si>
    <t>26.05.15 №23 Виконавчий комітет Щастинської міської Ради</t>
  </si>
  <si>
    <t>вивіз та утилізація          ТПВ,  куб. метр</t>
  </si>
  <si>
    <t>24.09.15 №42 Виконавчий комітет Щастинської міської Ради</t>
  </si>
  <si>
    <t>Постанова НКРЕКП №1257 від 16.04.2015</t>
  </si>
  <si>
    <t>смт Біловодськ КП "Біловодське РЕП"</t>
  </si>
  <si>
    <t>м. СВАТОВО   МКП  "Сватівський  водоканал"</t>
  </si>
  <si>
    <t>м. ПОПАСНА  КП "Попаснянський райводоканал"</t>
  </si>
  <si>
    <t>Постанова НКРЕКП від 31.03.2015 № 1171</t>
  </si>
  <si>
    <t>25.08.2010р. № 74/4 Рубіжанської міської ради</t>
  </si>
  <si>
    <t>28.05.2008р. №36/6 Рубіжанської міської ради</t>
  </si>
  <si>
    <t>21.06.2011р. №340 Рубіжанського виконавчого комітету</t>
  </si>
  <si>
    <t>Луганськ   АТО</t>
  </si>
  <si>
    <t>Алчевськ  АТО</t>
  </si>
  <si>
    <t>Антрацит  АТО</t>
  </si>
  <si>
    <t>Брянка   АТО</t>
  </si>
  <si>
    <t>КІРОВСЬК  АТО</t>
  </si>
  <si>
    <t xml:space="preserve">Красний Луч   АТО </t>
  </si>
  <si>
    <t xml:space="preserve">Первомайськ   АТО </t>
  </si>
  <si>
    <t xml:space="preserve">Краснодон   АТО </t>
  </si>
  <si>
    <t xml:space="preserve">Ровеньки   АТО </t>
  </si>
  <si>
    <t xml:space="preserve">Стаханов   АТ О </t>
  </si>
  <si>
    <t xml:space="preserve">Свердловськ   АТО </t>
  </si>
  <si>
    <t>Перевальськ АТО</t>
  </si>
  <si>
    <t xml:space="preserve">Славяносербськ   АТО </t>
  </si>
  <si>
    <t xml:space="preserve">Белореченський ККП "Белореченський житлофонд"   АТО </t>
  </si>
  <si>
    <t xml:space="preserve">м. Лутугине "Лутугінжилфонд"   АТО </t>
  </si>
  <si>
    <t>0,988-2,45</t>
  </si>
  <si>
    <t>0,46-1,72</t>
  </si>
  <si>
    <t>0,264-0,4163</t>
  </si>
  <si>
    <t>0,16-0,87</t>
  </si>
  <si>
    <t xml:space="preserve">Рішення Сєвєродонецької міськради від   23.09.2008  № 1831 </t>
  </si>
  <si>
    <t>0,165-0,265</t>
  </si>
  <si>
    <t>Рішення Новопсковської селищної ради від 09.09.2011 № 10/207</t>
  </si>
  <si>
    <t>Марковка                                          КПП "Марківський комунальник"</t>
  </si>
  <si>
    <t>ОКП "Компания Лугансквода"  АТО стартык данные</t>
  </si>
  <si>
    <t>м.Кремінна  КП "Креміннатеплокомуненерго"</t>
  </si>
  <si>
    <t>101 без магистрального</t>
  </si>
  <si>
    <t>частково,цілодобово,частково 18 год</t>
  </si>
  <si>
    <t>Затверджені  тарифи без ПДВ</t>
  </si>
  <si>
    <t>Затверджені  тарифи без ПДВ, грн.</t>
  </si>
  <si>
    <t xml:space="preserve">Інформація  про тарифи на послугиз  централізованого постачання холодної води    по  Луганській області                                                                                                                                                                                                                  </t>
  </si>
  <si>
    <t>затверджена  норма споживання,  м куб.</t>
  </si>
  <si>
    <t>0,15 м куб на добу</t>
  </si>
  <si>
    <t>від 50 до 210 л на добу</t>
  </si>
  <si>
    <t>від 50 до 300 л на добу</t>
  </si>
  <si>
    <t xml:space="preserve">7,604 м куб в місяць </t>
  </si>
  <si>
    <t>затверджена  норма споживання (холодна+гаряча вода), м куб.*</t>
  </si>
  <si>
    <t>* Примітка: затверджена  норма споживання для холодної води, м куб. Послуга гарячого водопостачання не надається.</t>
  </si>
  <si>
    <t>Рішення НКРРКП № 1101  від 09.06.2016</t>
  </si>
  <si>
    <t xml:space="preserve">постанова НКРЕКП№1101 від 09.06.16р. </t>
  </si>
  <si>
    <t>№1270 від 14.07.2016р. Постанова НКРЕКП</t>
  </si>
  <si>
    <t>м.Лисичанськ КП "Лисичанськтепломережа"</t>
  </si>
  <si>
    <t>м. Лисичанськ    ЛКСП "Лисичанськводоканал"</t>
  </si>
  <si>
    <t>от 50 до 300 л</t>
  </si>
  <si>
    <t>Постанова НКРКП № 2868  від 26.11.2015,  № 1239 від 07.07.2017</t>
  </si>
  <si>
    <t>Постанова НКРКП № 2868  від 26.11.2015,  № 1239 від 07.07.2018</t>
  </si>
  <si>
    <t>Постанова НКРКП  № 1502  від 01.09.2016</t>
  </si>
  <si>
    <t xml:space="preserve">Рішення Білокуракинської селищної ради від 29.09.2016 № 119  бюджет </t>
  </si>
  <si>
    <t>м.Кремінна КП "Кремінське ВУВКГ"</t>
  </si>
  <si>
    <t>м.Рубіжне КП "Рубіжанське ВУВКГ"</t>
  </si>
  <si>
    <t>м.Первомайськ КП  "Первомайськтеплокомуненерго"</t>
  </si>
  <si>
    <t>ДП "Сєвєродонецька теплоелектроцентраль"</t>
  </si>
  <si>
    <t>м. Рубіжне КСТП "Рубіжнетеплокомуненерго"</t>
  </si>
  <si>
    <t>КП "Сєвєродонецьктеплокрмуненерго"</t>
  </si>
  <si>
    <t>КП "Теплокомунзабезпечення" смт Білокуракино</t>
  </si>
  <si>
    <t>постанова НКРЕКП№ 1449 від 01.09.2016               № 1574  23.09.2016</t>
  </si>
  <si>
    <t>від 1 м куб до 4,8 м куб в місяць</t>
  </si>
  <si>
    <t>0,3 м куб на добу</t>
  </si>
  <si>
    <t>Постанова НКРЕКП від 09.06.2016 № 1101</t>
  </si>
  <si>
    <t>Рішення виконкому міськради від  19.06.2015 № 40</t>
  </si>
  <si>
    <t>0,23 м куб на добу</t>
  </si>
  <si>
    <t>0,2 м куб на добу</t>
  </si>
  <si>
    <t>0,63 м куб на добу</t>
  </si>
  <si>
    <t xml:space="preserve">Постанова НКРЕКП № 1238 від 07.07.2016  </t>
  </si>
  <si>
    <t xml:space="preserve">Постанова НКРЕКП № 1238 від 07.07.2016   </t>
  </si>
  <si>
    <t>Постанова НКРКП  № 1587  від 23.09.2016</t>
  </si>
  <si>
    <t>Рішення виконкомів: № 48/5 від 16.02.17 Ст-Луг п/р; № 45/3 від 22.02.17 Валуйск с/р;  № 49/2 від 14.02.17 Н.Тепловск р/с; № 9/4 від 16.02.17 Чуг р/с; № 7/3 від 17.02.17 Расцв срс; № 48/7 від 01.02.17 Петропавлівська срс; № 10/11 від 02.02.17 Б.Черниговс срс; № 43/4 від 02.02.17 Камиш срс</t>
  </si>
  <si>
    <t>Рішення Новоайдарської селищної ради від 22.02.2017 № 20/10</t>
  </si>
  <si>
    <t>Рішення Новопсковської селищної ради від 16.04.2015 № 66/2</t>
  </si>
  <si>
    <t>Попаснянський р-н</t>
  </si>
  <si>
    <t>Старобільськ</t>
  </si>
  <si>
    <t>Рішення Біловодьскої сільради  № 60 від 28.03.17</t>
  </si>
  <si>
    <t>РішенняСєвєродонецької міськради  від 09.08.2011 № 983</t>
  </si>
  <si>
    <t>24/год на добу, окрім м.Попасна і частково м.Золоте, для них постачання в світлу пору доби</t>
  </si>
  <si>
    <t>Рішення марківської селищної ради від   23.03.2017                                                                            №16-12/2017</t>
  </si>
  <si>
    <t>Рішення марківської селищної ради від   16.02.2017</t>
  </si>
  <si>
    <t>Дані про тарифи на послуги з утримання будинків і споруд та прибудинкових територій
по  Луганській області</t>
  </si>
  <si>
    <t>7-9-ти поверхові будинки з ліфтом (з ПДВ, грн.)</t>
  </si>
  <si>
    <t>5-ти поверхові  будинки  благоустроєні без ліфта (з ПДВ, грн.)</t>
  </si>
  <si>
    <t>Частково благоустро-єні будинки (з ПДВ, грн.)</t>
  </si>
  <si>
    <t>Неблагоус-троєні будинки (з ПДВ, грн.)</t>
  </si>
  <si>
    <t>Середньозважений затверджений тариф 
без ПДВ</t>
  </si>
  <si>
    <t>№ рішення</t>
  </si>
  <si>
    <t xml:space="preserve">Рівень відшкодування середньозваженим затвердженим тарифом без ПДВ                </t>
  </si>
  <si>
    <t>мін</t>
  </si>
  <si>
    <t>макс.</t>
  </si>
  <si>
    <t>Луганськ</t>
  </si>
  <si>
    <t>грн/м2</t>
  </si>
  <si>
    <t>№ 141/1від 13.06.2013</t>
  </si>
  <si>
    <t>ГКП Жилсервис</t>
  </si>
  <si>
    <t>№ 203 від 20.06.2011</t>
  </si>
  <si>
    <t>Алчевськ</t>
  </si>
  <si>
    <t>№ 385 від 05.04.2011</t>
  </si>
  <si>
    <t>КП ЖЭО</t>
  </si>
  <si>
    <t>№385 від 05.04.2011</t>
  </si>
  <si>
    <t>вивіз та утилізація ТПВ ( за 1 людину)</t>
  </si>
  <si>
    <t>№ 1125 від 18.12.2012</t>
  </si>
  <si>
    <t>Антрацит</t>
  </si>
  <si>
    <t>№ 36/4 від 29.04.13 №37/2 від 07.06.2013</t>
  </si>
  <si>
    <t>ДП Надежда КП ЖЄК №6</t>
  </si>
  <si>
    <t>№ 36/4 від 29.04.13</t>
  </si>
  <si>
    <t>ДП Злагода КП ЖЄК №3</t>
  </si>
  <si>
    <t>№37/2 від 07.06.2013</t>
  </si>
  <si>
    <t>КП Жилремонт</t>
  </si>
  <si>
    <t>ДП Комфорт  КП ЖЄК № 5</t>
  </si>
  <si>
    <t>вивіз та утилізація ТПВ</t>
  </si>
  <si>
    <t>№ 17/3 від 22.12.11</t>
  </si>
  <si>
    <t>Брянка</t>
  </si>
  <si>
    <t>№ 95 від 21.05.2013; №63,64,66 від 15.03.2011; №6/5 від 13.04.2011</t>
  </si>
  <si>
    <t>09.06.2013;           16.04.2011;                    17.06.2011</t>
  </si>
  <si>
    <t>БЖЄО</t>
  </si>
  <si>
    <t>№ 100</t>
  </si>
  <si>
    <t>КП Южно-Ломуватська ЖЕД</t>
  </si>
  <si>
    <t xml:space="preserve"> № 6/5</t>
  </si>
  <si>
    <t>Житловик№3</t>
  </si>
  <si>
    <t>№ 66</t>
  </si>
  <si>
    <t>Житловик№2</t>
  </si>
  <si>
    <t>№ 65</t>
  </si>
  <si>
    <t>Житловик№1</t>
  </si>
  <si>
    <t xml:space="preserve">№ 64 </t>
  </si>
  <si>
    <t>Жилсервис</t>
  </si>
  <si>
    <t xml:space="preserve"> №63</t>
  </si>
  <si>
    <t>КІРОВСЬК</t>
  </si>
  <si>
    <t>№ 166 від 27.03.2012</t>
  </si>
  <si>
    <t>Кіровськ КП "Міське житлове управління"</t>
  </si>
  <si>
    <t>Кіровськ МПП ФІРМА "Схід"</t>
  </si>
  <si>
    <t>Кіровськ ПП "Схід-НІП"</t>
  </si>
  <si>
    <t>Красний Луч</t>
  </si>
  <si>
    <t xml:space="preserve"> Красный Луч РЕК № 1</t>
  </si>
  <si>
    <t>№ 115</t>
  </si>
  <si>
    <t>№ 9 від 12.06.14</t>
  </si>
  <si>
    <t>№5</t>
  </si>
  <si>
    <t>ККП Миусинск</t>
  </si>
  <si>
    <t>вивіз та утилізація Миусинск КП Прогресс</t>
  </si>
  <si>
    <t>Краснодон</t>
  </si>
  <si>
    <t>№ 32/2327 від 29.03.2013 та №507 від 17.07.2008</t>
  </si>
  <si>
    <t>01.06.2013 та 01.08.2008</t>
  </si>
  <si>
    <t>квартплата КП КЖЄУ</t>
  </si>
  <si>
    <t>№ 32/2327 від 29.03.2013</t>
  </si>
  <si>
    <t>КП ЖЄК - 9</t>
  </si>
  <si>
    <t>№507 від 17.07.2008</t>
  </si>
  <si>
    <t>ООО Зенит Т-1</t>
  </si>
  <si>
    <t>№ 532/2327 від 29.03.2013</t>
  </si>
  <si>
    <t>ООО Зенит Т-2</t>
  </si>
  <si>
    <t>№ 42/758 від 24.05.2013</t>
  </si>
  <si>
    <t>ООО Эверест макс</t>
  </si>
  <si>
    <t>№ 18/993 від 16.01.2012 та №267 від 15.04.2008(на енергоснабж для ліфтов)</t>
  </si>
  <si>
    <t xml:space="preserve">41,92 за 1 м3  </t>
  </si>
  <si>
    <t>№30/2242 від 01.02.2013</t>
  </si>
  <si>
    <t>№ 214 від 07.07.2015</t>
  </si>
  <si>
    <t xml:space="preserve"> № 676 від 01.02.2013</t>
  </si>
  <si>
    <t>Первомайськ</t>
  </si>
  <si>
    <t>№ 138</t>
  </si>
  <si>
    <t>ЧП "Жилдом"</t>
  </si>
  <si>
    <t>№138</t>
  </si>
  <si>
    <t>КП ЖЕК №2</t>
  </si>
  <si>
    <t xml:space="preserve"> п.Золотое</t>
  </si>
  <si>
    <t>№ 13 від 16.02.11</t>
  </si>
  <si>
    <t>КП Коммунальник п.Золотое</t>
  </si>
  <si>
    <t>КП Услуга п.Золотое</t>
  </si>
  <si>
    <t>КП Прогресс п.Тошковка</t>
  </si>
  <si>
    <t>УЖКХ п.Горское</t>
  </si>
  <si>
    <t>№ 12</t>
  </si>
  <si>
    <t>вивіз та утилізація  ТПВ КАТП за 1 куб.м</t>
  </si>
  <si>
    <t>80,42 грн куб. м / 8,71 грн на 1 особу</t>
  </si>
  <si>
    <t>№ 425 16.11.2011</t>
  </si>
  <si>
    <t>КП Доступне житло</t>
  </si>
  <si>
    <t xml:space="preserve">БТИ </t>
  </si>
  <si>
    <t>№ 74/4 від 25.08.2010</t>
  </si>
  <si>
    <t>№ 36/6 від 28.05.2008</t>
  </si>
  <si>
    <t>№ 340 від 21.06.2011</t>
  </si>
  <si>
    <t>Попасная</t>
  </si>
  <si>
    <t>ПП Центроград - Попасная</t>
  </si>
  <si>
    <t>№ 1831 від 23.09.2008</t>
  </si>
  <si>
    <t>тел</t>
  </si>
  <si>
    <t>ПП Елітжитлком</t>
  </si>
  <si>
    <t>Ровеньки</t>
  </si>
  <si>
    <t>№ 82 від 29.04.2013</t>
  </si>
  <si>
    <t>КП ЖЕК Ясенівський сельради</t>
  </si>
  <si>
    <t>ЖКП Надія</t>
  </si>
  <si>
    <t>КП Уют Кленової сельради</t>
  </si>
  <si>
    <t>КП СРЖК</t>
  </si>
  <si>
    <t>КП СЖКГ</t>
  </si>
  <si>
    <t>№ 10/207 від  09.09.2011</t>
  </si>
  <si>
    <t>№30/9 від 15.11.12</t>
  </si>
  <si>
    <t>Новоайдар вивіз ТБО</t>
  </si>
  <si>
    <t>6,96 грн.1люд.</t>
  </si>
  <si>
    <t>Старобельськ</t>
  </si>
  <si>
    <t>№ 2 від 26.01.2012</t>
  </si>
  <si>
    <t>59,21 грн м3  / 7,40 грн. 1 люд.</t>
  </si>
  <si>
    <t>№ 140 від 28.12.2011</t>
  </si>
  <si>
    <t>Стаханов</t>
  </si>
  <si>
    <t>№ 252 від 29.05.2012; № 192 від 19.04.2011</t>
  </si>
  <si>
    <t>15.02.2013 та 01.12.2013</t>
  </si>
  <si>
    <t>КП Возрождение</t>
  </si>
  <si>
    <t>№ 526 від 15.10.2012</t>
  </si>
  <si>
    <t>ООО ЖСС №3</t>
  </si>
  <si>
    <t>№ 192 від 19.04.2011</t>
  </si>
  <si>
    <t>КП ЖС 5</t>
  </si>
  <si>
    <t>№ 400 від 05.11.2013</t>
  </si>
  <si>
    <t>ЧП "Квартал уют"</t>
  </si>
  <si>
    <t>поставила сама</t>
  </si>
  <si>
    <r>
      <t xml:space="preserve">ООО </t>
    </r>
    <r>
      <rPr>
        <b/>
        <sz val="14"/>
        <rFont val="Times New Roman"/>
        <family val="1"/>
        <charset val="204"/>
      </rPr>
      <t>"</t>
    </r>
    <r>
      <rPr>
        <sz val="14"/>
        <rFont val="Times New Roman"/>
        <family val="1"/>
        <charset val="204"/>
      </rPr>
      <t>Сапфир"</t>
    </r>
  </si>
  <si>
    <t>вивіз та утилізація  ТПВ (з 1 люд.)</t>
  </si>
  <si>
    <t>с 1 чел = 2-х и более этажей 6,68 грн., одноэтажный сектор - 7,76 грн</t>
  </si>
  <si>
    <t>№ 320 від 21.06.2011</t>
  </si>
  <si>
    <t>Свердловськ</t>
  </si>
  <si>
    <t>№ 269 від 10.09.2013</t>
  </si>
  <si>
    <t>№ 82</t>
  </si>
  <si>
    <t>№ 456</t>
  </si>
  <si>
    <t>№ 421 від 18.10.2011</t>
  </si>
  <si>
    <t>№ 85</t>
  </si>
  <si>
    <t>№ 109 від 16.08.2011</t>
  </si>
  <si>
    <t>Ст. Луганска</t>
  </si>
  <si>
    <t>№ 196 від 28.08.12</t>
  </si>
  <si>
    <t>вивіз та утилізація  ТПВ</t>
  </si>
  <si>
    <t>0,33/ 10,04</t>
  </si>
  <si>
    <t xml:space="preserve">Перевальськ </t>
  </si>
  <si>
    <t>Фащевский ЖЄК</t>
  </si>
  <si>
    <t xml:space="preserve"> № 85 від 10.07.12</t>
  </si>
  <si>
    <t>ККП м.Зоринська</t>
  </si>
  <si>
    <t>Артемовский ЖЭК</t>
  </si>
  <si>
    <t>ЖКУ</t>
  </si>
  <si>
    <t xml:space="preserve"> № 10/9 від 25.07.2011</t>
  </si>
  <si>
    <t>0,312 грн. кв.м</t>
  </si>
  <si>
    <t>№ 207 від 27.12.2011</t>
  </si>
  <si>
    <t>Попасное</t>
  </si>
  <si>
    <t>22.06.11 та 23.09.11</t>
  </si>
  <si>
    <t>ПП "Центроград-Попасне"</t>
  </si>
  <si>
    <t>№ 201 від 22.06.2011</t>
  </si>
  <si>
    <t>ПП "Елитжитлоком"</t>
  </si>
  <si>
    <t>№ 147  від 23.09.2011</t>
  </si>
  <si>
    <t xml:space="preserve">Славяносербськ </t>
  </si>
  <si>
    <t>КП МДУ м.Зимогорье</t>
  </si>
  <si>
    <t>КП Світоч с. Лозивське</t>
  </si>
  <si>
    <t xml:space="preserve">вивіз та утилізація ТВП КП Світоч </t>
  </si>
  <si>
    <t>КП Проминь  Словяносербск</t>
  </si>
  <si>
    <t>№  207 від 29.12.2011</t>
  </si>
  <si>
    <t>вивіз та утилізація ТПВ КП Проминь</t>
  </si>
  <si>
    <t>31,46 грн.м3 / 3,408 грн за 1 особу</t>
  </si>
  <si>
    <t>№ 206 від 29.12.2011</t>
  </si>
  <si>
    <t>КП Проминь  п.Родаково</t>
  </si>
  <si>
    <t>КП Байкал с.Трехизбенка</t>
  </si>
  <si>
    <t>№ 11/4 від 16.11.11</t>
  </si>
  <si>
    <t>КП Лотиковское ДУ</t>
  </si>
  <si>
    <t>№ 17 від 28.03.2012</t>
  </si>
  <si>
    <t>вивіз та утилізація ТПВ КП Лотиково</t>
  </si>
  <si>
    <t>4,08 грн за 1 особу</t>
  </si>
  <si>
    <t>№ 13/2</t>
  </si>
  <si>
    <t>КП Каштан с.Желтое</t>
  </si>
  <si>
    <t>Белореченський ККП "Белореченський житлофонд"</t>
  </si>
  <si>
    <t>№ 17/3 від  17.07.2012</t>
  </si>
  <si>
    <t>№ 50/1 від  01.10.2010</t>
  </si>
  <si>
    <t>№ 12/6 від 06.12.2011</t>
  </si>
  <si>
    <t>м. Лутугине "Лутугінжилфонд"</t>
  </si>
  <si>
    <t>№41 від 27.02.2013</t>
  </si>
  <si>
    <t>НКРЕКП                           № 728 від 01.06.2017</t>
  </si>
  <si>
    <t xml:space="preserve">Рішення виконкому Щастинської міськради від  20.07.2017 № 17 </t>
  </si>
  <si>
    <t>20.07.17  № 17  Виконавчий комітет Щастинської міської Ради</t>
  </si>
  <si>
    <t>Услуга Золотое</t>
  </si>
  <si>
    <t xml:space="preserve">Інформація  про тарифи на централізоване водопостачання     по  Луганській області                                                                                                                                                                                                                  </t>
  </si>
  <si>
    <t xml:space="preserve">Інформація  про тарифи на  послуги з  централізованого водовідведення (з використанням внутрішньобудинкових систем)    по  Луганській області                                                                                                                                                                                                                  </t>
  </si>
  <si>
    <t>№ 467 від 17.10.2017</t>
  </si>
  <si>
    <t xml:space="preserve">  Рішення виконкому Лисичанської мвськради від 19.10.2017 № 493</t>
  </si>
  <si>
    <t>Постанова НКРКП                    № 1502  від 01.09.2016</t>
  </si>
  <si>
    <t>01,02.2012</t>
  </si>
  <si>
    <t>28,27/3,98</t>
  </si>
  <si>
    <t>Рішення виконкому Кремінської міськради від 17.10. 2017 № 220</t>
  </si>
  <si>
    <t>Затверджені  тарифи без ПДВ, грн./ м кв.</t>
  </si>
  <si>
    <t>0,47-1,39</t>
  </si>
  <si>
    <t>0,97-2,08</t>
  </si>
  <si>
    <t>0,26-0,42</t>
  </si>
  <si>
    <t>0,16-0,74</t>
  </si>
  <si>
    <t>0,618-0,718</t>
  </si>
  <si>
    <t>0,1375-0,22</t>
  </si>
  <si>
    <t>1,2389-3,1247</t>
  </si>
  <si>
    <t>2,1604-3,1383</t>
  </si>
  <si>
    <t>1,5397-2,8057</t>
  </si>
  <si>
    <t>0,0644-0,2386</t>
  </si>
  <si>
    <t>2,24-3,23</t>
  </si>
  <si>
    <t>2,18-3,14</t>
  </si>
  <si>
    <t>Постанова НКРЕКП   № 1344 від 02.11.2017</t>
  </si>
  <si>
    <t>№ 85 від  16.11.2017 р  .Сватівської міської ради</t>
  </si>
  <si>
    <t>№ 85 від     16.11.2017 р  .Сватівської міської ради</t>
  </si>
  <si>
    <t>2,499-3,28</t>
  </si>
  <si>
    <t>1,5397-3,8037</t>
  </si>
  <si>
    <t>2,44-3,23</t>
  </si>
  <si>
    <t>КП ЖЕК №1</t>
  </si>
  <si>
    <t>КП ЖЕК № 3</t>
  </si>
  <si>
    <t xml:space="preserve">КП ЖЕК № 5 </t>
  </si>
  <si>
    <t>КП ЖЕК № 6</t>
  </si>
  <si>
    <t>КП ЖЕК № 8</t>
  </si>
  <si>
    <t>Рішення виконкому Сватівської міської ради від 10.11.2017 № 77</t>
  </si>
  <si>
    <t>Постанова НКРЕКП № 1575  від 28.12.2017</t>
  </si>
  <si>
    <t>Постанова НКРЕКП,  № 1344 від 02.11.2017</t>
  </si>
  <si>
    <t>Постанова НКРКП               № 5521576  від 28.12.2017</t>
  </si>
  <si>
    <t>Постанова НКРКП  № 1576 від 28.12.2017</t>
  </si>
  <si>
    <t>НКРЕКП                  № 1343 від 01.11.2017</t>
  </si>
  <si>
    <t>Постанова НКРЕКП № 1576  від 28.12.2017</t>
  </si>
  <si>
    <t>Рішення виконкому Кремінської міськрада від 24.07.2017№ 157</t>
  </si>
  <si>
    <t>кварплата</t>
  </si>
  <si>
    <t>Рішення виконкому міської ради №40 від 19.06.2015 р.</t>
  </si>
  <si>
    <t>станом на 01.03.2018</t>
  </si>
  <si>
    <t xml:space="preserve">станом на  01.03.2018 року 
</t>
  </si>
  <si>
    <t>Рішення сесії Кремінської райради від  30.01.2018 №28/1</t>
  </si>
  <si>
    <t>1,059-3,164</t>
  </si>
  <si>
    <t>2,998-3,936</t>
  </si>
  <si>
    <t>1,271-3,797</t>
  </si>
  <si>
    <t>1,2389-3,2233</t>
  </si>
  <si>
    <t>2,,58</t>
  </si>
  <si>
    <t>Рішення виконкому Кремінської міськради № 292 від 12.12.2017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</si>
</sst>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\-_р_._-;_-@_-"/>
    <numFmt numFmtId="165" formatCode="_-* #,##0.00_р_._-;\-* #,##0.00_р_._-;_-* \-??_р_._-;_-@_-"/>
    <numFmt numFmtId="166" formatCode="0.0000"/>
    <numFmt numFmtId="167" formatCode="0.0"/>
    <numFmt numFmtId="168" formatCode="0.000"/>
  </numFmts>
  <fonts count="54" x14ac:knownFonts="1">
    <font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1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Arial Cyr"/>
      <family val="2"/>
      <charset val="204"/>
    </font>
    <font>
      <i/>
      <sz val="14"/>
      <name val="Arial Cyr"/>
      <family val="2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3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7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8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7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7" fillId="3" borderId="0" applyNumberFormat="0" applyBorder="0" applyAlignment="0" applyProtection="0"/>
    <xf numFmtId="0" fontId="18" fillId="14" borderId="1" applyNumberFormat="0" applyAlignment="0" applyProtection="0"/>
    <xf numFmtId="0" fontId="24" fillId="24" borderId="2" applyNumberFormat="0" applyAlignment="0" applyProtection="0"/>
    <xf numFmtId="0" fontId="28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6" fillId="7" borderId="1" applyNumberFormat="0" applyAlignment="0" applyProtection="0"/>
    <xf numFmtId="0" fontId="29" fillId="0" borderId="6" applyNumberFormat="0" applyFill="0" applyAlignment="0" applyProtection="0"/>
    <xf numFmtId="0" fontId="26" fillId="15" borderId="0" applyNumberFormat="0" applyBorder="0" applyAlignment="0" applyProtection="0"/>
    <xf numFmtId="0" fontId="14" fillId="9" borderId="7" applyNumberFormat="0" applyFont="0" applyAlignment="0" applyProtection="0"/>
    <xf numFmtId="0" fontId="17" fillId="14" borderId="8" applyNumberFormat="0" applyAlignment="0" applyProtection="0"/>
    <xf numFmtId="0" fontId="35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7" fillId="8" borderId="8" applyNumberFormat="0" applyAlignment="0" applyProtection="0"/>
    <xf numFmtId="0" fontId="17" fillId="14" borderId="8" applyNumberFormat="0" applyAlignment="0" applyProtection="0"/>
    <xf numFmtId="0" fontId="18" fillId="8" borderId="1" applyNumberFormat="0" applyAlignment="0" applyProtection="0"/>
    <xf numFmtId="0" fontId="18" fillId="14" borderId="1" applyNumberFormat="0" applyAlignment="0" applyProtection="0"/>
    <xf numFmtId="0" fontId="20" fillId="0" borderId="10" applyNumberFormat="0" applyFill="0" applyAlignment="0" applyProtection="0"/>
    <xf numFmtId="0" fontId="32" fillId="0" borderId="3" applyNumberFormat="0" applyFill="0" applyAlignment="0" applyProtection="0"/>
    <xf numFmtId="0" fontId="21" fillId="0" borderId="4" applyNumberFormat="0" applyFill="0" applyAlignment="0" applyProtection="0"/>
    <xf numFmtId="0" fontId="33" fillId="0" borderId="4" applyNumberFormat="0" applyFill="0" applyAlignment="0" applyProtection="0"/>
    <xf numFmtId="0" fontId="22" fillId="0" borderId="11" applyNumberFormat="0" applyFill="0" applyAlignment="0" applyProtection="0"/>
    <xf numFmtId="0" fontId="34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3" fillId="0" borderId="9" applyNumberFormat="0" applyFill="0" applyAlignment="0" applyProtection="0"/>
    <xf numFmtId="0" fontId="24" fillId="24" borderId="2" applyNumberFormat="0" applyAlignment="0" applyProtection="0"/>
    <xf numFmtId="0" fontId="24" fillId="24" borderId="2" applyNumberFormat="0" applyAlignment="0" applyProtection="0"/>
    <xf numFmtId="0" fontId="2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9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9" borderId="7" applyNumberFormat="0" applyFont="0" applyAlignment="0" applyProtection="0"/>
    <xf numFmtId="0" fontId="19" fillId="9" borderId="7" applyNumberFormat="0" applyFont="0" applyAlignment="0" applyProtection="0"/>
    <xf numFmtId="9" fontId="19" fillId="0" borderId="0" applyFon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4" fontId="36" fillId="0" borderId="0" applyFill="0" applyBorder="0" applyAlignment="0" applyProtection="0"/>
    <xf numFmtId="165" fontId="36" fillId="0" borderId="0" applyFill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</cellStyleXfs>
  <cellXfs count="405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6" fontId="6" fillId="0" borderId="17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textRotation="90" wrapText="1"/>
    </xf>
    <xf numFmtId="0" fontId="10" fillId="0" borderId="13" xfId="0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center" vertical="center" wrapText="1"/>
    </xf>
    <xf numFmtId="167" fontId="6" fillId="0" borderId="17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 wrapText="1"/>
    </xf>
    <xf numFmtId="167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68" fontId="8" fillId="0" borderId="32" xfId="0" applyNumberFormat="1" applyFont="1" applyFill="1" applyBorder="1" applyAlignment="1">
      <alignment horizontal="center" vertical="center" textRotation="90" wrapText="1"/>
    </xf>
    <xf numFmtId="14" fontId="8" fillId="0" borderId="32" xfId="0" applyNumberFormat="1" applyFont="1" applyFill="1" applyBorder="1" applyAlignment="1">
      <alignment horizontal="center" vertical="center" textRotation="90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9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center" wrapText="1"/>
    </xf>
    <xf numFmtId="167" fontId="43" fillId="0" borderId="19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0" fillId="26" borderId="0" xfId="0" applyFont="1" applyFill="1" applyAlignment="1">
      <alignment horizontal="center" vertical="center" wrapText="1"/>
    </xf>
    <xf numFmtId="166" fontId="6" fillId="0" borderId="21" xfId="0" applyNumberFormat="1" applyFont="1" applyFill="1" applyBorder="1" applyAlignment="1">
      <alignment horizontal="center" vertical="center" wrapText="1"/>
    </xf>
    <xf numFmtId="167" fontId="6" fillId="0" borderId="61" xfId="0" applyNumberFormat="1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167" fontId="6" fillId="0" borderId="21" xfId="0" applyNumberFormat="1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/>
    </xf>
    <xf numFmtId="0" fontId="42" fillId="0" borderId="67" xfId="0" applyFont="1" applyFill="1" applyBorder="1" applyAlignment="1">
      <alignment horizontal="center" vertical="top" wrapText="1"/>
    </xf>
    <xf numFmtId="0" fontId="5" fillId="0" borderId="70" xfId="0" applyFont="1" applyFill="1" applyBorder="1" applyAlignment="1">
      <alignment horizontal="center" vertical="center" wrapText="1"/>
    </xf>
    <xf numFmtId="166" fontId="6" fillId="0" borderId="25" xfId="0" applyNumberFormat="1" applyFont="1" applyFill="1" applyBorder="1" applyAlignment="1">
      <alignment horizontal="center" vertical="center" wrapText="1"/>
    </xf>
    <xf numFmtId="14" fontId="6" fillId="0" borderId="25" xfId="0" applyNumberFormat="1" applyFont="1" applyFill="1" applyBorder="1" applyAlignment="1">
      <alignment horizontal="center" vertical="center" wrapText="1"/>
    </xf>
    <xf numFmtId="167" fontId="6" fillId="0" borderId="25" xfId="0" applyNumberFormat="1" applyFont="1" applyFill="1" applyBorder="1" applyAlignment="1">
      <alignment horizontal="center" vertical="center" wrapText="1"/>
    </xf>
    <xf numFmtId="167" fontId="6" fillId="0" borderId="71" xfId="0" applyNumberFormat="1" applyFont="1" applyFill="1" applyBorder="1" applyAlignment="1">
      <alignment horizontal="center" vertical="center" wrapText="1"/>
    </xf>
    <xf numFmtId="14" fontId="8" fillId="0" borderId="13" xfId="0" applyNumberFormat="1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167" fontId="6" fillId="0" borderId="46" xfId="0" applyNumberFormat="1" applyFont="1" applyFill="1" applyBorder="1" applyAlignment="1">
      <alignment horizontal="center" vertical="center" wrapText="1"/>
    </xf>
    <xf numFmtId="167" fontId="43" fillId="0" borderId="46" xfId="0" applyNumberFormat="1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46" fillId="27" borderId="13" xfId="0" applyFont="1" applyFill="1" applyBorder="1" applyAlignment="1" applyProtection="1">
      <alignment horizontal="center" vertical="center" wrapText="1"/>
      <protection hidden="1"/>
    </xf>
    <xf numFmtId="0" fontId="0" fillId="27" borderId="13" xfId="0" applyFont="1" applyFill="1" applyBorder="1" applyAlignment="1" applyProtection="1">
      <alignment horizontal="center"/>
      <protection hidden="1"/>
    </xf>
    <xf numFmtId="0" fontId="5" fillId="0" borderId="28" xfId="0" applyFont="1" applyFill="1" applyBorder="1" applyAlignment="1">
      <alignment horizontal="left" vertical="center" wrapText="1"/>
    </xf>
    <xf numFmtId="0" fontId="1" fillId="28" borderId="13" xfId="0" applyFont="1" applyFill="1" applyBorder="1" applyAlignment="1">
      <alignment horizontal="center" vertical="center" wrapText="1"/>
    </xf>
    <xf numFmtId="0" fontId="3" fillId="27" borderId="13" xfId="0" applyFont="1" applyFill="1" applyBorder="1" applyAlignment="1" applyProtection="1">
      <alignment horizontal="center" vertical="center" wrapText="1"/>
      <protection hidden="1"/>
    </xf>
    <xf numFmtId="14" fontId="1" fillId="28" borderId="13" xfId="0" applyNumberFormat="1" applyFont="1" applyFill="1" applyBorder="1" applyAlignment="1">
      <alignment horizontal="center" vertical="center" wrapText="1"/>
    </xf>
    <xf numFmtId="167" fontId="1" fillId="28" borderId="1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" fillId="28" borderId="0" xfId="0" applyFont="1" applyFill="1" applyAlignment="1">
      <alignment horizontal="center" vertical="center" wrapText="1"/>
    </xf>
    <xf numFmtId="0" fontId="8" fillId="0" borderId="22" xfId="0" applyFont="1" applyFill="1" applyBorder="1" applyAlignment="1">
      <alignment horizontal="left"/>
    </xf>
    <xf numFmtId="167" fontId="1" fillId="0" borderId="13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8" fillId="28" borderId="13" xfId="0" applyFont="1" applyFill="1" applyBorder="1" applyAlignment="1">
      <alignment horizontal="center" vertical="center" wrapText="1"/>
    </xf>
    <xf numFmtId="14" fontId="8" fillId="28" borderId="13" xfId="0" applyNumberFormat="1" applyFont="1" applyFill="1" applyBorder="1" applyAlignment="1">
      <alignment horizontal="center" vertical="center" wrapText="1"/>
    </xf>
    <xf numFmtId="0" fontId="0" fillId="28" borderId="0" xfId="0" applyFont="1" applyFill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8" fillId="29" borderId="13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wrapText="1"/>
    </xf>
    <xf numFmtId="0" fontId="8" fillId="0" borderId="24" xfId="0" applyFont="1" applyFill="1" applyBorder="1" applyAlignment="1">
      <alignment horizontal="center" vertical="center" wrapText="1"/>
    </xf>
    <xf numFmtId="0" fontId="8" fillId="30" borderId="13" xfId="0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left" vertical="center" wrapText="1"/>
    </xf>
    <xf numFmtId="2" fontId="8" fillId="29" borderId="13" xfId="0" applyNumberFormat="1" applyFont="1" applyFill="1" applyBorder="1" applyAlignment="1">
      <alignment horizontal="center" vertical="center" wrapText="1"/>
    </xf>
    <xf numFmtId="2" fontId="8" fillId="28" borderId="1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67" fontId="1" fillId="31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vertical="center" wrapText="1"/>
    </xf>
    <xf numFmtId="0" fontId="47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0" fontId="39" fillId="0" borderId="22" xfId="0" applyFont="1" applyFill="1" applyBorder="1" applyAlignment="1">
      <alignment horizontal="left" wrapText="1"/>
    </xf>
    <xf numFmtId="0" fontId="48" fillId="0" borderId="22" xfId="0" applyFont="1" applyFill="1" applyBorder="1" applyAlignment="1">
      <alignment horizontal="left" wrapText="1"/>
    </xf>
    <xf numFmtId="168" fontId="8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6" fillId="0" borderId="2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0" borderId="79" xfId="0" applyFont="1" applyFill="1" applyBorder="1" applyAlignment="1">
      <alignment horizontal="center" vertical="center" wrapText="1"/>
    </xf>
    <xf numFmtId="0" fontId="0" fillId="29" borderId="0" xfId="0" applyFont="1" applyFill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8" fillId="26" borderId="13" xfId="0" applyFont="1" applyFill="1" applyBorder="1" applyAlignment="1">
      <alignment horizontal="center" vertical="center" wrapText="1"/>
    </xf>
    <xf numFmtId="167" fontId="8" fillId="26" borderId="13" xfId="0" applyNumberFormat="1" applyFont="1" applyFill="1" applyBorder="1" applyAlignment="1">
      <alignment horizontal="center" vertical="center" wrapText="1"/>
    </xf>
    <xf numFmtId="14" fontId="8" fillId="26" borderId="13" xfId="0" applyNumberFormat="1" applyFont="1" applyFill="1" applyBorder="1" applyAlignment="1">
      <alignment horizontal="center" vertical="center" wrapText="1"/>
    </xf>
    <xf numFmtId="167" fontId="1" fillId="26" borderId="13" xfId="0" applyNumberFormat="1" applyFont="1" applyFill="1" applyBorder="1" applyAlignment="1">
      <alignment horizontal="center" vertical="center" wrapText="1"/>
    </xf>
    <xf numFmtId="0" fontId="0" fillId="26" borderId="0" xfId="0" applyFont="1" applyFill="1" applyAlignment="1">
      <alignment horizontal="left" vertical="center" wrapText="1"/>
    </xf>
    <xf numFmtId="0" fontId="5" fillId="26" borderId="22" xfId="0" applyFont="1" applyFill="1" applyBorder="1" applyAlignment="1">
      <alignment horizontal="left" vertical="center" wrapText="1"/>
    </xf>
    <xf numFmtId="2" fontId="6" fillId="0" borderId="47" xfId="0" applyNumberFormat="1" applyFont="1" applyFill="1" applyBorder="1" applyAlignment="1">
      <alignment horizontal="center" vertical="center" wrapText="1"/>
    </xf>
    <xf numFmtId="2" fontId="6" fillId="0" borderId="46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90" wrapText="1"/>
    </xf>
    <xf numFmtId="168" fontId="6" fillId="0" borderId="22" xfId="0" applyNumberFormat="1" applyFont="1" applyFill="1" applyBorder="1" applyAlignment="1">
      <alignment horizontal="center" vertical="center" wrapText="1"/>
    </xf>
    <xf numFmtId="14" fontId="6" fillId="0" borderId="17" xfId="0" applyNumberFormat="1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 wrapText="1"/>
    </xf>
    <xf numFmtId="167" fontId="6" fillId="0" borderId="51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167" fontId="6" fillId="0" borderId="18" xfId="0" applyNumberFormat="1" applyFont="1" applyFill="1" applyBorder="1" applyAlignment="1">
      <alignment horizontal="center" vertical="center" wrapText="1"/>
    </xf>
    <xf numFmtId="0" fontId="0" fillId="32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vertical="center" wrapText="1"/>
    </xf>
    <xf numFmtId="0" fontId="50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vertical="top" wrapText="1"/>
    </xf>
    <xf numFmtId="0" fontId="50" fillId="0" borderId="0" xfId="0" applyFont="1" applyFill="1" applyAlignment="1">
      <alignment horizontal="center" vertical="top" wrapText="1"/>
    </xf>
    <xf numFmtId="0" fontId="5" fillId="0" borderId="78" xfId="0" applyFont="1" applyFill="1" applyBorder="1" applyAlignment="1">
      <alignment vertical="center" wrapText="1"/>
    </xf>
    <xf numFmtId="14" fontId="8" fillId="33" borderId="13" xfId="0" applyNumberFormat="1" applyFont="1" applyFill="1" applyBorder="1" applyAlignment="1">
      <alignment horizontal="center" vertical="center" wrapText="1"/>
    </xf>
    <xf numFmtId="0" fontId="8" fillId="33" borderId="13" xfId="0" applyFont="1" applyFill="1" applyBorder="1" applyAlignment="1">
      <alignment horizontal="center" vertical="center" wrapText="1"/>
    </xf>
    <xf numFmtId="14" fontId="6" fillId="0" borderId="32" xfId="0" applyNumberFormat="1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left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2" fontId="6" fillId="0" borderId="57" xfId="0" applyNumberFormat="1" applyFont="1" applyFill="1" applyBorder="1" applyAlignment="1">
      <alignment horizontal="center" vertical="center" wrapText="1"/>
    </xf>
    <xf numFmtId="2" fontId="6" fillId="0" borderId="58" xfId="0" applyNumberFormat="1" applyFont="1" applyFill="1" applyBorder="1" applyAlignment="1">
      <alignment horizontal="center" vertical="center" wrapText="1"/>
    </xf>
    <xf numFmtId="14" fontId="6" fillId="0" borderId="59" xfId="0" applyNumberFormat="1" applyFont="1" applyFill="1" applyBorder="1" applyAlignment="1">
      <alignment horizontal="center" vertical="center" wrapText="1"/>
    </xf>
    <xf numFmtId="2" fontId="41" fillId="0" borderId="17" xfId="0" applyNumberFormat="1" applyFont="1" applyFill="1" applyBorder="1" applyAlignment="1">
      <alignment horizontal="center" vertical="center" wrapText="1"/>
    </xf>
    <xf numFmtId="168" fontId="6" fillId="0" borderId="17" xfId="0" applyNumberFormat="1" applyFont="1" applyFill="1" applyBorder="1" applyAlignment="1">
      <alignment horizontal="center" vertical="center" wrapText="1"/>
    </xf>
    <xf numFmtId="168" fontId="6" fillId="0" borderId="28" xfId="0" applyNumberFormat="1" applyFont="1" applyFill="1" applyBorder="1" applyAlignment="1">
      <alignment horizontal="center" vertical="center" wrapText="1"/>
    </xf>
    <xf numFmtId="2" fontId="6" fillId="0" borderId="50" xfId="0" applyNumberFormat="1" applyFont="1" applyFill="1" applyBorder="1" applyAlignment="1">
      <alignment horizontal="center" vertical="center" wrapText="1"/>
    </xf>
    <xf numFmtId="2" fontId="6" fillId="0" borderId="51" xfId="0" applyNumberFormat="1" applyFont="1" applyFill="1" applyBorder="1" applyAlignment="1">
      <alignment horizontal="center" vertical="center" wrapText="1"/>
    </xf>
    <xf numFmtId="168" fontId="40" fillId="0" borderId="17" xfId="0" applyNumberFormat="1" applyFont="1" applyFill="1" applyBorder="1" applyAlignment="1">
      <alignment horizontal="center" vertical="center" wrapText="1"/>
    </xf>
    <xf numFmtId="1" fontId="6" fillId="0" borderId="21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167" fontId="6" fillId="0" borderId="49" xfId="0" applyNumberFormat="1" applyFont="1" applyFill="1" applyBorder="1" applyAlignment="1">
      <alignment horizontal="center" vertical="center" wrapText="1"/>
    </xf>
    <xf numFmtId="168" fontId="40" fillId="0" borderId="21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7" fillId="0" borderId="28" xfId="0" applyFont="1" applyFill="1" applyBorder="1" applyAlignment="1">
      <alignment vertical="center" wrapText="1"/>
    </xf>
    <xf numFmtId="0" fontId="5" fillId="0" borderId="89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left" vertical="center" wrapText="1"/>
    </xf>
    <xf numFmtId="2" fontId="41" fillId="0" borderId="13" xfId="0" applyNumberFormat="1" applyFont="1" applyFill="1" applyBorder="1" applyAlignment="1">
      <alignment horizontal="center" vertical="center" wrapText="1"/>
    </xf>
    <xf numFmtId="168" fontId="6" fillId="0" borderId="13" xfId="0" applyNumberFormat="1" applyFont="1" applyFill="1" applyBorder="1" applyAlignment="1">
      <alignment horizontal="center" vertical="center" wrapText="1"/>
    </xf>
    <xf numFmtId="2" fontId="44" fillId="0" borderId="13" xfId="0" applyNumberFormat="1" applyFont="1" applyFill="1" applyBorder="1" applyAlignment="1">
      <alignment horizontal="center" vertical="center" wrapText="1"/>
    </xf>
    <xf numFmtId="2" fontId="6" fillId="0" borderId="22" xfId="0" applyNumberFormat="1" applyFont="1" applyFill="1" applyBorder="1" applyAlignment="1">
      <alignment horizontal="center" vertical="center" wrapText="1"/>
    </xf>
    <xf numFmtId="2" fontId="6" fillId="0" borderId="32" xfId="0" applyNumberFormat="1" applyFont="1" applyFill="1" applyBorder="1" applyAlignment="1">
      <alignment horizontal="center" vertical="center" wrapText="1"/>
    </xf>
    <xf numFmtId="2" fontId="6" fillId="0" borderId="34" xfId="0" applyNumberFormat="1" applyFont="1" applyFill="1" applyBorder="1" applyAlignment="1">
      <alignment horizontal="center" vertical="center" wrapText="1"/>
    </xf>
    <xf numFmtId="168" fontId="6" fillId="0" borderId="24" xfId="0" applyNumberFormat="1" applyFont="1" applyFill="1" applyBorder="1" applyAlignment="1">
      <alignment horizontal="center" vertical="center" wrapText="1"/>
    </xf>
    <xf numFmtId="2" fontId="43" fillId="0" borderId="46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left" vertical="center" wrapText="1"/>
    </xf>
    <xf numFmtId="2" fontId="6" fillId="0" borderId="21" xfId="0" applyNumberFormat="1" applyFont="1" applyFill="1" applyBorder="1" applyAlignment="1">
      <alignment horizontal="center" vertical="center" wrapText="1"/>
    </xf>
    <xf numFmtId="168" fontId="6" fillId="0" borderId="21" xfId="0" applyNumberFormat="1" applyFont="1" applyFill="1" applyBorder="1" applyAlignment="1">
      <alignment horizontal="center" vertical="center" wrapText="1"/>
    </xf>
    <xf numFmtId="168" fontId="6" fillId="0" borderId="27" xfId="0" applyNumberFormat="1" applyFont="1" applyFill="1" applyBorder="1" applyAlignment="1">
      <alignment horizontal="center" vertical="center" wrapText="1"/>
    </xf>
    <xf numFmtId="2" fontId="6" fillId="0" borderId="49" xfId="0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left" vertical="center" wrapText="1"/>
    </xf>
    <xf numFmtId="2" fontId="6" fillId="0" borderId="55" xfId="0" applyNumberFormat="1" applyFont="1" applyFill="1" applyBorder="1" applyAlignment="1">
      <alignment horizontal="center" vertical="center" wrapText="1"/>
    </xf>
    <xf numFmtId="14" fontId="6" fillId="0" borderId="55" xfId="0" applyNumberFormat="1" applyFont="1" applyFill="1" applyBorder="1" applyAlignment="1">
      <alignment horizontal="center" vertical="center" wrapText="1"/>
    </xf>
    <xf numFmtId="2" fontId="41" fillId="0" borderId="55" xfId="0" applyNumberFormat="1" applyFont="1" applyFill="1" applyBorder="1" applyAlignment="1">
      <alignment horizontal="center" vertical="center" wrapText="1"/>
    </xf>
    <xf numFmtId="168" fontId="6" fillId="0" borderId="55" xfId="0" applyNumberFormat="1" applyFont="1" applyFill="1" applyBorder="1" applyAlignment="1">
      <alignment horizontal="center" vertical="center" wrapText="1"/>
    </xf>
    <xf numFmtId="168" fontId="6" fillId="0" borderId="62" xfId="0" applyNumberFormat="1" applyFont="1" applyFill="1" applyBorder="1" applyAlignment="1">
      <alignment horizontal="center" vertical="center" wrapText="1"/>
    </xf>
    <xf numFmtId="2" fontId="6" fillId="0" borderId="68" xfId="0" applyNumberFormat="1" applyFont="1" applyFill="1" applyBorder="1" applyAlignment="1">
      <alignment horizontal="center" vertical="center" wrapText="1"/>
    </xf>
    <xf numFmtId="2" fontId="6" fillId="0" borderId="64" xfId="0" applyNumberFormat="1" applyFont="1" applyFill="1" applyBorder="1" applyAlignment="1">
      <alignment horizontal="center" vertical="center" wrapText="1"/>
    </xf>
    <xf numFmtId="2" fontId="6" fillId="0" borderId="56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166" fontId="6" fillId="0" borderId="40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Fill="1" applyBorder="1" applyAlignment="1">
      <alignment horizontal="center" vertical="center" wrapText="1"/>
    </xf>
    <xf numFmtId="1" fontId="6" fillId="0" borderId="40" xfId="0" applyNumberFormat="1" applyFont="1" applyFill="1" applyBorder="1" applyAlignment="1">
      <alignment horizontal="center" vertical="center" wrapText="1"/>
    </xf>
    <xf numFmtId="14" fontId="6" fillId="0" borderId="40" xfId="0" applyNumberFormat="1" applyFont="1" applyFill="1" applyBorder="1" applyAlignment="1">
      <alignment horizontal="center" vertical="center" wrapText="1"/>
    </xf>
    <xf numFmtId="168" fontId="40" fillId="0" borderId="40" xfId="0" applyNumberFormat="1" applyFont="1" applyFill="1" applyBorder="1" applyAlignment="1">
      <alignment horizontal="center" vertical="center" wrapText="1"/>
    </xf>
    <xf numFmtId="166" fontId="6" fillId="0" borderId="52" xfId="0" applyNumberFormat="1" applyFont="1" applyFill="1" applyBorder="1" applyAlignment="1">
      <alignment horizontal="center" vertical="center" wrapText="1"/>
    </xf>
    <xf numFmtId="166" fontId="6" fillId="0" borderId="15" xfId="0" applyNumberFormat="1" applyFont="1" applyFill="1" applyBorder="1" applyAlignment="1">
      <alignment horizontal="center" vertical="center" wrapText="1"/>
    </xf>
    <xf numFmtId="1" fontId="6" fillId="0" borderId="52" xfId="0" applyNumberFormat="1" applyFont="1" applyFill="1" applyBorder="1" applyAlignment="1">
      <alignment horizontal="center" vertical="center" wrapText="1"/>
    </xf>
    <xf numFmtId="14" fontId="6" fillId="0" borderId="52" xfId="0" applyNumberFormat="1" applyFont="1" applyFill="1" applyBorder="1" applyAlignment="1">
      <alignment horizontal="center" vertical="center" wrapText="1"/>
    </xf>
    <xf numFmtId="168" fontId="40" fillId="0" borderId="52" xfId="0" applyNumberFormat="1" applyFont="1" applyFill="1" applyBorder="1" applyAlignment="1">
      <alignment horizontal="center" vertical="center" wrapText="1"/>
    </xf>
    <xf numFmtId="167" fontId="6" fillId="0" borderId="53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166" fontId="6" fillId="0" borderId="66" xfId="0" applyNumberFormat="1" applyFont="1" applyFill="1" applyBorder="1" applyAlignment="1">
      <alignment horizontal="center" vertical="center" wrapText="1"/>
    </xf>
    <xf numFmtId="167" fontId="6" fillId="0" borderId="73" xfId="0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166" fontId="6" fillId="0" borderId="55" xfId="0" applyNumberFormat="1" applyFont="1" applyFill="1" applyBorder="1" applyAlignment="1">
      <alignment horizontal="center" vertical="center" wrapText="1"/>
    </xf>
    <xf numFmtId="166" fontId="6" fillId="0" borderId="64" xfId="0" applyNumberFormat="1" applyFont="1" applyFill="1" applyBorder="1" applyAlignment="1">
      <alignment horizontal="center" vertical="center" wrapText="1"/>
    </xf>
    <xf numFmtId="166" fontId="6" fillId="0" borderId="65" xfId="0" applyNumberFormat="1" applyFont="1" applyFill="1" applyBorder="1" applyAlignment="1">
      <alignment horizontal="center" vertical="center" wrapText="1"/>
    </xf>
    <xf numFmtId="167" fontId="6" fillId="0" borderId="64" xfId="0" applyNumberFormat="1" applyFont="1" applyFill="1" applyBorder="1" applyAlignment="1">
      <alignment horizontal="center" vertical="center" wrapText="1"/>
    </xf>
    <xf numFmtId="167" fontId="43" fillId="0" borderId="56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66" fontId="43" fillId="0" borderId="13" xfId="0" applyNumberFormat="1" applyFont="1" applyFill="1" applyBorder="1" applyAlignment="1">
      <alignment horizontal="center" vertical="center" wrapText="1"/>
    </xf>
    <xf numFmtId="166" fontId="43" fillId="0" borderId="64" xfId="0" applyNumberFormat="1" applyFont="1" applyFill="1" applyBorder="1" applyAlignment="1">
      <alignment horizontal="center" vertical="center" wrapText="1"/>
    </xf>
    <xf numFmtId="14" fontId="6" fillId="0" borderId="64" xfId="0" applyNumberFormat="1" applyFont="1" applyFill="1" applyBorder="1" applyAlignment="1">
      <alignment horizontal="center" vertical="center" wrapText="1"/>
    </xf>
    <xf numFmtId="167" fontId="6" fillId="0" borderId="69" xfId="0" applyNumberFormat="1" applyFont="1" applyFill="1" applyBorder="1" applyAlignment="1">
      <alignment horizontal="center" vertical="center" wrapText="1"/>
    </xf>
    <xf numFmtId="14" fontId="6" fillId="0" borderId="77" xfId="0" applyNumberFormat="1" applyFont="1" applyFill="1" applyBorder="1" applyAlignment="1">
      <alignment horizontal="center" vertical="center" wrapText="1"/>
    </xf>
    <xf numFmtId="168" fontId="40" fillId="0" borderId="77" xfId="0" applyNumberFormat="1" applyFont="1" applyFill="1" applyBorder="1" applyAlignment="1">
      <alignment horizontal="center" vertical="center" wrapText="1"/>
    </xf>
    <xf numFmtId="166" fontId="6" fillId="0" borderId="77" xfId="0" applyNumberFormat="1" applyFont="1" applyFill="1" applyBorder="1" applyAlignment="1">
      <alignment horizontal="center" vertical="center" wrapText="1"/>
    </xf>
    <xf numFmtId="167" fontId="6" fillId="0" borderId="52" xfId="0" applyNumberFormat="1" applyFont="1" applyFill="1" applyBorder="1" applyAlignment="1">
      <alignment horizontal="center" vertical="center" wrapText="1"/>
    </xf>
    <xf numFmtId="167" fontId="6" fillId="0" borderId="44" xfId="0" applyNumberFormat="1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168" fontId="6" fillId="0" borderId="52" xfId="0" applyNumberFormat="1" applyFont="1" applyFill="1" applyBorder="1" applyAlignment="1">
      <alignment horizontal="center" vertical="center" wrapText="1"/>
    </xf>
    <xf numFmtId="166" fontId="6" fillId="0" borderId="57" xfId="0" applyNumberFormat="1" applyFont="1" applyFill="1" applyBorder="1" applyAlignment="1">
      <alignment horizontal="center" vertical="center" wrapText="1"/>
    </xf>
    <xf numFmtId="168" fontId="6" fillId="0" borderId="57" xfId="0" applyNumberFormat="1" applyFont="1" applyFill="1" applyBorder="1" applyAlignment="1">
      <alignment horizontal="center" vertical="center" wrapText="1"/>
    </xf>
    <xf numFmtId="167" fontId="6" fillId="0" borderId="57" xfId="0" applyNumberFormat="1" applyFont="1" applyFill="1" applyBorder="1" applyAlignment="1">
      <alignment horizontal="center" vertical="center" wrapText="1"/>
    </xf>
    <xf numFmtId="14" fontId="6" fillId="0" borderId="57" xfId="0" applyNumberFormat="1" applyFont="1" applyFill="1" applyBorder="1" applyAlignment="1">
      <alignment horizontal="center" vertical="center" wrapText="1"/>
    </xf>
    <xf numFmtId="168" fontId="40" fillId="0" borderId="57" xfId="0" applyNumberFormat="1" applyFont="1" applyFill="1" applyBorder="1" applyAlignment="1">
      <alignment horizontal="center" vertical="center" wrapText="1"/>
    </xf>
    <xf numFmtId="167" fontId="6" fillId="0" borderId="84" xfId="0" applyNumberFormat="1" applyFont="1" applyFill="1" applyBorder="1" applyAlignment="1">
      <alignment horizontal="center" vertical="center" wrapText="1"/>
    </xf>
    <xf numFmtId="166" fontId="6" fillId="0" borderId="72" xfId="0" applyNumberFormat="1" applyFont="1" applyFill="1" applyBorder="1" applyAlignment="1">
      <alignment horizontal="center" vertical="center" wrapText="1"/>
    </xf>
    <xf numFmtId="168" fontId="6" fillId="0" borderId="72" xfId="0" applyNumberFormat="1" applyFont="1" applyFill="1" applyBorder="1" applyAlignment="1">
      <alignment horizontal="center" vertical="center" wrapText="1"/>
    </xf>
    <xf numFmtId="167" fontId="6" fillId="0" borderId="72" xfId="0" applyNumberFormat="1" applyFont="1" applyFill="1" applyBorder="1" applyAlignment="1">
      <alignment horizontal="center" vertical="center" wrapText="1"/>
    </xf>
    <xf numFmtId="14" fontId="6" fillId="0" borderId="72" xfId="0" applyNumberFormat="1" applyFont="1" applyFill="1" applyBorder="1" applyAlignment="1">
      <alignment horizontal="center" vertical="center" wrapText="1"/>
    </xf>
    <xf numFmtId="168" fontId="40" fillId="0" borderId="72" xfId="0" applyNumberFormat="1" applyFont="1" applyFill="1" applyBorder="1" applyAlignment="1">
      <alignment horizontal="center" vertical="center" wrapText="1"/>
    </xf>
    <xf numFmtId="167" fontId="6" fillId="0" borderId="82" xfId="0" applyNumberFormat="1" applyFont="1" applyFill="1" applyBorder="1" applyAlignment="1">
      <alignment horizontal="center" vertical="center" wrapText="1"/>
    </xf>
    <xf numFmtId="0" fontId="42" fillId="0" borderId="37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8" fillId="0" borderId="2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textRotation="90" wrapText="1"/>
    </xf>
    <xf numFmtId="0" fontId="6" fillId="0" borderId="47" xfId="0" applyFont="1" applyFill="1" applyBorder="1" applyAlignment="1">
      <alignment horizontal="center" vertical="center" textRotation="90" wrapText="1"/>
    </xf>
    <xf numFmtId="0" fontId="6" fillId="0" borderId="46" xfId="0" applyFont="1" applyFill="1" applyBorder="1" applyAlignment="1">
      <alignment horizontal="center" vertical="center" textRotation="90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textRotation="90" wrapText="1"/>
    </xf>
    <xf numFmtId="0" fontId="49" fillId="0" borderId="0" xfId="0" applyFont="1" applyFill="1" applyBorder="1" applyAlignment="1">
      <alignment horizontal="center" vertical="top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49" fillId="0" borderId="78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left" vertical="center" wrapText="1"/>
    </xf>
    <xf numFmtId="0" fontId="0" fillId="0" borderId="79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28" borderId="13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45" fillId="27" borderId="17" xfId="0" applyFont="1" applyFill="1" applyBorder="1" applyAlignment="1" applyProtection="1">
      <alignment horizontal="center" vertical="center" wrapText="1"/>
      <protection hidden="1"/>
    </xf>
    <xf numFmtId="0" fontId="46" fillId="27" borderId="17" xfId="0" applyFont="1" applyFill="1" applyBorder="1" applyAlignment="1" applyProtection="1">
      <alignment horizontal="center" vertical="center" textRotation="90" wrapText="1"/>
      <protection hidden="1"/>
    </xf>
    <xf numFmtId="0" fontId="46" fillId="27" borderId="17" xfId="0" applyFont="1" applyFill="1" applyBorder="1" applyAlignment="1" applyProtection="1">
      <alignment horizontal="center" vertical="center" wrapText="1"/>
      <protection hidden="1"/>
    </xf>
    <xf numFmtId="2" fontId="9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4" fontId="44" fillId="0" borderId="32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51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51" fillId="0" borderId="30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textRotation="90" wrapText="1"/>
    </xf>
    <xf numFmtId="0" fontId="13" fillId="0" borderId="19" xfId="0" applyFont="1" applyFill="1" applyBorder="1" applyAlignment="1">
      <alignment horizontal="center" vertical="center" textRotation="90" wrapText="1"/>
    </xf>
    <xf numFmtId="0" fontId="13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13" fillId="0" borderId="13" xfId="0" applyFont="1" applyFill="1" applyBorder="1" applyAlignment="1">
      <alignment horizontal="center" vertical="center" textRotation="90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168" fontId="6" fillId="0" borderId="40" xfId="0" applyNumberFormat="1" applyFont="1" applyFill="1" applyBorder="1" applyAlignment="1">
      <alignment horizontal="center" vertical="center" wrapText="1"/>
    </xf>
    <xf numFmtId="0" fontId="9" fillId="0" borderId="76" xfId="112" applyFont="1" applyFill="1" applyBorder="1" applyAlignment="1">
      <alignment vertical="center" wrapText="1"/>
    </xf>
    <xf numFmtId="0" fontId="6" fillId="32" borderId="0" xfId="0" applyFont="1" applyFill="1" applyBorder="1" applyAlignment="1">
      <alignment horizontal="center" vertical="center" wrapText="1"/>
    </xf>
    <xf numFmtId="0" fontId="9" fillId="32" borderId="0" xfId="0" applyFont="1" applyFill="1" applyAlignment="1">
      <alignment horizontal="center" vertical="center" wrapText="1"/>
    </xf>
    <xf numFmtId="0" fontId="9" fillId="32" borderId="0" xfId="112" applyFont="1" applyFill="1" applyBorder="1" applyAlignment="1">
      <alignment vertical="center" wrapText="1"/>
    </xf>
    <xf numFmtId="166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51" fillId="0" borderId="40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51" fillId="0" borderId="45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textRotation="90" wrapText="1"/>
    </xf>
    <xf numFmtId="0" fontId="10" fillId="0" borderId="74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9" fillId="0" borderId="72" xfId="112" applyFont="1" applyFill="1" applyBorder="1" applyAlignment="1">
      <alignment horizontal="center" vertical="center" wrapText="1"/>
    </xf>
    <xf numFmtId="168" fontId="6" fillId="0" borderId="6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41" fillId="0" borderId="3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textRotation="90" wrapText="1"/>
    </xf>
    <xf numFmtId="168" fontId="6" fillId="0" borderId="32" xfId="0" applyNumberFormat="1" applyFont="1" applyFill="1" applyBorder="1" applyAlignment="1">
      <alignment horizontal="center" vertical="center" textRotation="90" wrapText="1"/>
    </xf>
    <xf numFmtId="14" fontId="6" fillId="0" borderId="32" xfId="0" applyNumberFormat="1" applyFont="1" applyFill="1" applyBorder="1" applyAlignment="1">
      <alignment horizontal="center" vertical="center" textRotation="90" wrapText="1"/>
    </xf>
    <xf numFmtId="0" fontId="5" fillId="0" borderId="32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2" xfId="0" applyNumberFormat="1" applyFont="1" applyFill="1" applyBorder="1" applyAlignment="1">
      <alignment horizontal="center" vertical="center" wrapText="1"/>
    </xf>
    <xf numFmtId="14" fontId="10" fillId="0" borderId="32" xfId="0" applyNumberFormat="1" applyFont="1" applyFill="1" applyBorder="1" applyAlignment="1">
      <alignment horizontal="center" vertical="center" wrapText="1"/>
    </xf>
    <xf numFmtId="167" fontId="10" fillId="0" borderId="32" xfId="0" applyNumberFormat="1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/>
    </xf>
    <xf numFmtId="167" fontId="6" fillId="0" borderId="32" xfId="0" applyNumberFormat="1" applyFont="1" applyFill="1" applyBorder="1" applyAlignment="1">
      <alignment horizontal="center" vertical="center" wrapText="1"/>
    </xf>
    <xf numFmtId="2" fontId="6" fillId="0" borderId="32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166" fontId="6" fillId="0" borderId="32" xfId="0" applyNumberFormat="1" applyFont="1" applyFill="1" applyBorder="1" applyAlignment="1">
      <alignment horizontal="center" vertical="center" wrapText="1"/>
    </xf>
    <xf numFmtId="168" fontId="6" fillId="0" borderId="32" xfId="0" applyNumberFormat="1" applyFont="1" applyFill="1" applyBorder="1" applyAlignment="1">
      <alignment horizontal="center" vertical="center"/>
    </xf>
    <xf numFmtId="2" fontId="6" fillId="0" borderId="32" xfId="0" applyNumberFormat="1" applyFont="1" applyFill="1" applyBorder="1" applyAlignment="1">
      <alignment horizontal="center" vertical="center"/>
    </xf>
    <xf numFmtId="2" fontId="6" fillId="0" borderId="32" xfId="0" applyNumberFormat="1" applyFont="1" applyFill="1" applyBorder="1" applyAlignment="1">
      <alignment horizontal="center" vertical="center"/>
    </xf>
    <xf numFmtId="14" fontId="6" fillId="0" borderId="32" xfId="0" applyNumberFormat="1" applyFont="1" applyFill="1" applyBorder="1" applyAlignment="1">
      <alignment horizontal="center" vertical="center"/>
    </xf>
    <xf numFmtId="14" fontId="41" fillId="0" borderId="32" xfId="0" applyNumberFormat="1" applyFont="1" applyFill="1" applyBorder="1" applyAlignment="1">
      <alignment horizontal="center" vertical="center" wrapText="1"/>
    </xf>
    <xf numFmtId="168" fontId="6" fillId="0" borderId="32" xfId="0" applyNumberFormat="1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2" fontId="6" fillId="0" borderId="32" xfId="0" applyNumberFormat="1" applyFont="1" applyFill="1" applyBorder="1" applyAlignment="1">
      <alignment vertical="center" wrapText="1"/>
    </xf>
    <xf numFmtId="0" fontId="53" fillId="0" borderId="32" xfId="0" applyFont="1" applyFill="1" applyBorder="1" applyAlignment="1">
      <alignment horizontal="left" vertical="center"/>
    </xf>
    <xf numFmtId="0" fontId="41" fillId="0" borderId="32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6" fillId="0" borderId="8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4" fontId="5" fillId="0" borderId="32" xfId="0" applyNumberFormat="1" applyFont="1" applyFill="1" applyBorder="1" applyAlignment="1">
      <alignment horizontal="center" vertical="center" wrapText="1"/>
    </xf>
    <xf numFmtId="2" fontId="6" fillId="0" borderId="28" xfId="0" applyNumberFormat="1" applyFont="1" applyFill="1" applyBorder="1" applyAlignment="1">
      <alignment horizontal="center" vertical="center" wrapText="1"/>
    </xf>
    <xf numFmtId="2" fontId="6" fillId="0" borderId="33" xfId="0" applyNumberFormat="1" applyFont="1" applyFill="1" applyBorder="1" applyAlignment="1">
      <alignment horizontal="center" vertical="center" wrapText="1"/>
    </xf>
    <xf numFmtId="14" fontId="6" fillId="0" borderId="33" xfId="0" applyNumberFormat="1" applyFont="1" applyFill="1" applyBorder="1" applyAlignment="1">
      <alignment horizontal="center" vertical="center" wrapText="1"/>
    </xf>
    <xf numFmtId="2" fontId="43" fillId="0" borderId="17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left" vertical="center" wrapText="1"/>
    </xf>
    <xf numFmtId="2" fontId="43" fillId="0" borderId="85" xfId="0" applyNumberFormat="1" applyFont="1" applyFill="1" applyBorder="1" applyAlignment="1">
      <alignment horizontal="center" vertical="center" wrapText="1"/>
    </xf>
    <xf numFmtId="2" fontId="6" fillId="0" borderId="85" xfId="0" applyNumberFormat="1" applyFont="1" applyFill="1" applyBorder="1" applyAlignment="1">
      <alignment horizontal="center" vertical="center" wrapText="1"/>
    </xf>
    <xf numFmtId="2" fontId="6" fillId="0" borderId="86" xfId="0" applyNumberFormat="1" applyFont="1" applyFill="1" applyBorder="1" applyAlignment="1">
      <alignment horizontal="center" vertical="center" wrapText="1"/>
    </xf>
    <xf numFmtId="2" fontId="6" fillId="0" borderId="87" xfId="0" applyNumberFormat="1" applyFont="1" applyFill="1" applyBorder="1" applyAlignment="1">
      <alignment horizontal="center" vertical="center" wrapText="1"/>
    </xf>
    <xf numFmtId="2" fontId="6" fillId="0" borderId="88" xfId="0" applyNumberFormat="1" applyFont="1" applyFill="1" applyBorder="1" applyAlignment="1">
      <alignment vertical="center" wrapText="1"/>
    </xf>
    <xf numFmtId="2" fontId="6" fillId="0" borderId="87" xfId="0" applyNumberFormat="1" applyFont="1" applyFill="1" applyBorder="1" applyAlignment="1">
      <alignment vertical="center" wrapText="1"/>
    </xf>
    <xf numFmtId="14" fontId="6" fillId="0" borderId="85" xfId="0" applyNumberFormat="1" applyFont="1" applyFill="1" applyBorder="1" applyAlignment="1">
      <alignment horizontal="center" vertical="center" wrapText="1"/>
    </xf>
    <xf numFmtId="167" fontId="6" fillId="0" borderId="37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14" fontId="6" fillId="0" borderId="22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center" vertical="center" wrapText="1"/>
    </xf>
    <xf numFmtId="14" fontId="6" fillId="0" borderId="23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2" fontId="6" fillId="0" borderId="38" xfId="0" applyNumberFormat="1" applyFont="1" applyFill="1" applyBorder="1" applyAlignment="1">
      <alignment horizontal="center" vertical="center" wrapText="1"/>
    </xf>
    <xf numFmtId="14" fontId="6" fillId="0" borderId="3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90" xfId="0" applyFont="1" applyFill="1" applyBorder="1" applyAlignment="1">
      <alignment vertical="center" wrapText="1"/>
    </xf>
    <xf numFmtId="168" fontId="9" fillId="0" borderId="90" xfId="0" applyNumberFormat="1" applyFont="1" applyFill="1" applyBorder="1" applyAlignment="1">
      <alignment horizontal="center" vertical="center" wrapText="1"/>
    </xf>
    <xf numFmtId="0" fontId="9" fillId="0" borderId="90" xfId="0" applyFont="1" applyFill="1" applyBorder="1" applyAlignment="1">
      <alignment horizontal="center" vertical="center" wrapText="1"/>
    </xf>
    <xf numFmtId="14" fontId="9" fillId="0" borderId="90" xfId="0" applyNumberFormat="1" applyFont="1" applyFill="1" applyBorder="1" applyAlignment="1">
      <alignment horizontal="center" vertical="center" wrapText="1"/>
    </xf>
    <xf numFmtId="168" fontId="43" fillId="0" borderId="85" xfId="0" applyNumberFormat="1" applyFont="1" applyFill="1" applyBorder="1" applyAlignment="1">
      <alignment horizontal="center" vertical="center" wrapText="1"/>
    </xf>
    <xf numFmtId="168" fontId="6" fillId="0" borderId="86" xfId="0" applyNumberFormat="1" applyFont="1" applyFill="1" applyBorder="1" applyAlignment="1">
      <alignment horizontal="center" vertical="center" wrapText="1"/>
    </xf>
    <xf numFmtId="168" fontId="6" fillId="0" borderId="87" xfId="0" applyNumberFormat="1" applyFont="1" applyFill="1" applyBorder="1" applyAlignment="1">
      <alignment horizontal="center" vertical="center" wrapText="1"/>
    </xf>
    <xf numFmtId="168" fontId="6" fillId="0" borderId="88" xfId="0" applyNumberFormat="1" applyFont="1" applyFill="1" applyBorder="1" applyAlignment="1">
      <alignment horizontal="center" vertical="center" wrapText="1"/>
    </xf>
    <xf numFmtId="168" fontId="6" fillId="0" borderId="85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</cellXfs>
  <cellStyles count="12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 builtinId="30" customBuiltin="1"/>
    <cellStyle name="20% - Акцент1 2" xfId="8"/>
    <cellStyle name="20% — акцент2" xfId="9" builtinId="34" customBuiltin="1"/>
    <cellStyle name="20% - Акцент2 2" xfId="10"/>
    <cellStyle name="20% — акцент3" xfId="11" builtinId="38" customBuiltin="1"/>
    <cellStyle name="20% - Акцент3 2" xfId="12"/>
    <cellStyle name="20% — акцент4" xfId="13" builtinId="42" customBuiltin="1"/>
    <cellStyle name="20% - Акцент4 2" xfId="14"/>
    <cellStyle name="20% — акцент5" xfId="15" builtinId="46" customBuiltin="1"/>
    <cellStyle name="20% - Акцент5 2" xfId="16"/>
    <cellStyle name="20% — акцент6" xfId="17" builtinId="50" customBuiltin="1"/>
    <cellStyle name="20% - Акцент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— акцент1" xfId="25" builtinId="31" customBuiltin="1"/>
    <cellStyle name="40% - Акцент1 2" xfId="26"/>
    <cellStyle name="40% — акцент2" xfId="27" builtinId="35" customBuiltin="1"/>
    <cellStyle name="40% - Акцент2 2" xfId="28"/>
    <cellStyle name="40% — акцент3" xfId="29" builtinId="39" customBuiltin="1"/>
    <cellStyle name="40% - Акцент3 2" xfId="30"/>
    <cellStyle name="40% — акцент4" xfId="31" builtinId="43" customBuiltin="1"/>
    <cellStyle name="40% - Акцент4 2" xfId="32"/>
    <cellStyle name="40% — акцент5" xfId="33" builtinId="47" customBuiltin="1"/>
    <cellStyle name="40% - Акцент5 2" xfId="34"/>
    <cellStyle name="40% — акцент6" xfId="35" builtinId="51" customBuiltin="1"/>
    <cellStyle name="40% - Акцент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— акцент1" xfId="43" builtinId="32" customBuiltin="1"/>
    <cellStyle name="60% - Акцент1 2" xfId="44"/>
    <cellStyle name="60% — акцент2" xfId="45" builtinId="36" customBuiltin="1"/>
    <cellStyle name="60% - Акцент2 2" xfId="46"/>
    <cellStyle name="60% — акцент3" xfId="47" builtinId="40" customBuiltin="1"/>
    <cellStyle name="60% - Акцент3 2" xfId="48"/>
    <cellStyle name="60% — акцент4" xfId="49" builtinId="44" customBuiltin="1"/>
    <cellStyle name="60% - Акцент4 2" xfId="50"/>
    <cellStyle name="60% — акцент5" xfId="51" builtinId="48" customBuiltin="1"/>
    <cellStyle name="60% - Акцент5 2" xfId="52"/>
    <cellStyle name="60% — акцент6" xfId="53" builtinId="52" customBuiltin="1"/>
    <cellStyle name="60% - Акцент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Calculation" xfId="62"/>
    <cellStyle name="Check Cell" xfId="63"/>
    <cellStyle name="Explanatory Text" xfId="64"/>
    <cellStyle name="Good" xfId="65"/>
    <cellStyle name="Heading 1" xfId="66"/>
    <cellStyle name="Heading 2" xfId="67"/>
    <cellStyle name="Heading 3" xfId="68"/>
    <cellStyle name="Heading 4" xfId="69"/>
    <cellStyle name="Input" xfId="70"/>
    <cellStyle name="Linked Cell" xfId="71"/>
    <cellStyle name="Neutral" xfId="72"/>
    <cellStyle name="Note" xfId="73"/>
    <cellStyle name="Output" xfId="74"/>
    <cellStyle name="Title" xfId="75"/>
    <cellStyle name="Total" xfId="76"/>
    <cellStyle name="Warning Text" xfId="77"/>
    <cellStyle name="Акцент1" xfId="78" builtinId="29" customBuiltin="1"/>
    <cellStyle name="Акцент1 2" xfId="79"/>
    <cellStyle name="Акцент2" xfId="80" builtinId="33" customBuiltin="1"/>
    <cellStyle name="Акцент2 2" xfId="81"/>
    <cellStyle name="Акцент3" xfId="82" builtinId="37" customBuiltin="1"/>
    <cellStyle name="Акцент3 2" xfId="83"/>
    <cellStyle name="Акцент4" xfId="84" builtinId="41" customBuiltin="1"/>
    <cellStyle name="Акцент4 2" xfId="85"/>
    <cellStyle name="Акцент5" xfId="86" builtinId="45" customBuiltin="1"/>
    <cellStyle name="Акцент5 2" xfId="87"/>
    <cellStyle name="Акцент6" xfId="88" builtinId="49" customBuiltin="1"/>
    <cellStyle name="Акцент6 2" xfId="89"/>
    <cellStyle name="Ввод " xfId="90" builtinId="20" customBuiltin="1"/>
    <cellStyle name="Ввод  2" xfId="91"/>
    <cellStyle name="Вывод" xfId="92" builtinId="21" customBuiltin="1"/>
    <cellStyle name="Вывод 2" xfId="93"/>
    <cellStyle name="Вычисление" xfId="94" builtinId="22" customBuiltin="1"/>
    <cellStyle name="Вычисление 2" xfId="95"/>
    <cellStyle name="Заголовок 1" xfId="96" builtinId="16" customBuiltin="1"/>
    <cellStyle name="Заголовок 1 2" xfId="97"/>
    <cellStyle name="Заголовок 2" xfId="98" builtinId="17" customBuiltin="1"/>
    <cellStyle name="Заголовок 2 2" xfId="99"/>
    <cellStyle name="Заголовок 3" xfId="100" builtinId="18" customBuiltin="1"/>
    <cellStyle name="Заголовок 3 2" xfId="101"/>
    <cellStyle name="Заголовок 4" xfId="102" builtinId="19" customBuiltin="1"/>
    <cellStyle name="Заголовок 4 2" xfId="103"/>
    <cellStyle name="Итог" xfId="104" builtinId="25" customBuiltin="1"/>
    <cellStyle name="Итог 2" xfId="105"/>
    <cellStyle name="Контрольная ячейка" xfId="106" builtinId="23" customBuiltin="1"/>
    <cellStyle name="Контрольная ячейка 2" xfId="107"/>
    <cellStyle name="Название" xfId="108" builtinId="15" customBuiltin="1"/>
    <cellStyle name="Название 2" xfId="109"/>
    <cellStyle name="Нейтральный" xfId="110" builtinId="28" customBuiltin="1"/>
    <cellStyle name="Нейтральный 2" xfId="111"/>
    <cellStyle name="Обычный" xfId="0" builtinId="0"/>
    <cellStyle name="Обычный 2" xfId="112"/>
    <cellStyle name="Плохой" xfId="113" builtinId="27" customBuiltin="1"/>
    <cellStyle name="Плохой 2" xfId="114"/>
    <cellStyle name="Пояснение" xfId="115" builtinId="53" customBuiltin="1"/>
    <cellStyle name="Пояснение 2" xfId="116"/>
    <cellStyle name="Примечание" xfId="117" builtinId="10" customBuiltin="1"/>
    <cellStyle name="Примечание 2" xfId="118"/>
    <cellStyle name="Процентный 2" xfId="119"/>
    <cellStyle name="Связанная ячейка" xfId="120" builtinId="24" customBuiltin="1"/>
    <cellStyle name="Связанная ячейка 2" xfId="121"/>
    <cellStyle name="Текст предупреждения" xfId="122" builtinId="11" customBuiltin="1"/>
    <cellStyle name="Текст предупреждения 2" xfId="123"/>
    <cellStyle name="Тысячи [0]_Лист1 (2)" xfId="124"/>
    <cellStyle name="Тысячи_Лист1 (2)" xfId="125"/>
    <cellStyle name="Хороший" xfId="126" builtinId="26" customBuiltin="1"/>
    <cellStyle name="Хороший 2" xfId="127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ova\&#1052;&#1086;&#1085;&#1080;&#1090;&#1086;&#1088;&#1080;&#1085;&#1075;\&#1086;&#1090;&#1095;&#1077;&#1090;&#1099;\2011\11\&#1090;&#1072;&#1088;&#1080;&#1092;&#1099;\1310v1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-В"/>
      <sheetName val="Тар-С"/>
    </sheetNames>
    <sheetDataSet>
      <sheetData sheetId="0">
        <row r="16">
          <cell r="C16">
            <v>0</v>
          </cell>
          <cell r="J16">
            <v>24</v>
          </cell>
        </row>
      </sheetData>
      <sheetData sheetId="1">
        <row r="16">
          <cell r="D16">
            <v>3.6459999999999999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31"/>
  <sheetViews>
    <sheetView view="pageBreakPreview" zoomScale="60" zoomScaleNormal="6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12" sqref="J12"/>
    </sheetView>
  </sheetViews>
  <sheetFormatPr defaultColWidth="9.140625" defaultRowHeight="14.25" customHeight="1" x14ac:dyDescent="0.2"/>
  <cols>
    <col min="1" max="1" width="44.5703125" style="12" customWidth="1"/>
    <col min="2" max="2" width="10.85546875" style="12" customWidth="1"/>
    <col min="3" max="3" width="10.85546875" style="12" hidden="1" customWidth="1"/>
    <col min="4" max="4" width="11.85546875" style="12" customWidth="1"/>
    <col min="5" max="5" width="11.140625" style="12" customWidth="1"/>
    <col min="6" max="6" width="11.140625" style="12" hidden="1" customWidth="1"/>
    <col min="7" max="7" width="11.7109375" style="290" customWidth="1"/>
    <col min="8" max="8" width="11.85546875" style="12" customWidth="1"/>
    <col min="9" max="9" width="11.85546875" style="12" hidden="1" customWidth="1"/>
    <col min="10" max="10" width="9.85546875" style="12" customWidth="1"/>
    <col min="11" max="11" width="11.28515625" style="12" customWidth="1"/>
    <col min="12" max="12" width="19" style="12" customWidth="1"/>
    <col min="13" max="13" width="15.140625" style="12" customWidth="1"/>
    <col min="14" max="14" width="10.7109375" style="12" customWidth="1"/>
    <col min="15" max="15" width="8.42578125" style="12" customWidth="1"/>
    <col min="16" max="16" width="11" style="12" customWidth="1"/>
    <col min="17" max="17" width="18.85546875" style="12" customWidth="1"/>
    <col min="18" max="18" width="31" style="12" customWidth="1"/>
    <col min="19" max="19" width="15.85546875" style="12" hidden="1" customWidth="1"/>
    <col min="20" max="20" width="13.28515625" style="12" customWidth="1"/>
    <col min="21" max="21" width="11.42578125" style="12" customWidth="1"/>
    <col min="22" max="22" width="11.42578125" style="12" hidden="1" customWidth="1"/>
    <col min="23" max="23" width="15.85546875" style="12" customWidth="1"/>
    <col min="24" max="24" width="12.140625" style="12" customWidth="1"/>
    <col min="25" max="16384" width="9.140625" style="12"/>
  </cols>
  <sheetData>
    <row r="1" spans="1:24" ht="0.75" customHeight="1" x14ac:dyDescent="0.2">
      <c r="W1" s="291"/>
      <c r="X1" s="291"/>
    </row>
    <row r="2" spans="1:24" ht="54.75" customHeight="1" x14ac:dyDescent="0.2">
      <c r="A2" s="239" t="s">
        <v>125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</row>
    <row r="3" spans="1:24" ht="26.25" customHeight="1" thickBot="1" x14ac:dyDescent="0.25">
      <c r="A3" s="239" t="s">
        <v>455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</row>
    <row r="4" spans="1:24" ht="27.2" customHeight="1" thickBot="1" x14ac:dyDescent="0.25">
      <c r="A4" s="240" t="s">
        <v>0</v>
      </c>
      <c r="B4" s="242" t="s">
        <v>123</v>
      </c>
      <c r="C4" s="242"/>
      <c r="D4" s="242"/>
      <c r="E4" s="242" t="s">
        <v>26</v>
      </c>
      <c r="F4" s="242"/>
      <c r="G4" s="242"/>
      <c r="H4" s="242"/>
      <c r="I4" s="242"/>
      <c r="J4" s="242"/>
      <c r="K4" s="250" t="s">
        <v>181</v>
      </c>
      <c r="L4" s="251"/>
      <c r="M4" s="251"/>
      <c r="N4" s="251"/>
      <c r="O4" s="251"/>
      <c r="P4" s="251"/>
      <c r="Q4" s="251"/>
      <c r="R4" s="251"/>
      <c r="S4" s="251"/>
      <c r="T4" s="251"/>
      <c r="U4" s="244" t="s">
        <v>4</v>
      </c>
      <c r="V4" s="245"/>
      <c r="W4" s="245"/>
      <c r="X4" s="246"/>
    </row>
    <row r="5" spans="1:24" ht="30" customHeight="1" thickBot="1" x14ac:dyDescent="0.25">
      <c r="A5" s="241"/>
      <c r="B5" s="243"/>
      <c r="C5" s="243"/>
      <c r="D5" s="243"/>
      <c r="E5" s="243"/>
      <c r="F5" s="243"/>
      <c r="G5" s="243"/>
      <c r="H5" s="243"/>
      <c r="I5" s="243"/>
      <c r="J5" s="243"/>
      <c r="K5" s="234" t="s">
        <v>5</v>
      </c>
      <c r="L5" s="235"/>
      <c r="M5" s="235"/>
      <c r="N5" s="235"/>
      <c r="O5" s="235"/>
      <c r="P5" s="235"/>
      <c r="Q5" s="235"/>
      <c r="R5" s="236"/>
      <c r="S5" s="231" t="s">
        <v>133</v>
      </c>
      <c r="T5" s="247" t="s">
        <v>27</v>
      </c>
      <c r="U5" s="248" t="s">
        <v>7</v>
      </c>
      <c r="V5" s="231" t="s">
        <v>136</v>
      </c>
      <c r="W5" s="231" t="s">
        <v>8</v>
      </c>
      <c r="X5" s="249" t="s">
        <v>9</v>
      </c>
    </row>
    <row r="6" spans="1:24" ht="44.25" customHeight="1" thickBot="1" x14ac:dyDescent="0.25">
      <c r="A6" s="241"/>
      <c r="B6" s="243"/>
      <c r="C6" s="243"/>
      <c r="D6" s="243"/>
      <c r="E6" s="237" t="s">
        <v>10</v>
      </c>
      <c r="F6" s="237"/>
      <c r="G6" s="237"/>
      <c r="H6" s="237" t="s">
        <v>11</v>
      </c>
      <c r="I6" s="237"/>
      <c r="J6" s="237"/>
      <c r="K6" s="231" t="s">
        <v>28</v>
      </c>
      <c r="L6" s="237" t="s">
        <v>29</v>
      </c>
      <c r="M6" s="237"/>
      <c r="N6" s="237" t="s">
        <v>30</v>
      </c>
      <c r="O6" s="237"/>
      <c r="P6" s="237"/>
      <c r="Q6" s="231" t="s">
        <v>15</v>
      </c>
      <c r="R6" s="232" t="s">
        <v>129</v>
      </c>
      <c r="S6" s="231"/>
      <c r="T6" s="247"/>
      <c r="U6" s="248"/>
      <c r="V6" s="231"/>
      <c r="W6" s="231"/>
      <c r="X6" s="249"/>
    </row>
    <row r="7" spans="1:24" ht="135.75" customHeight="1" x14ac:dyDescent="0.2">
      <c r="A7" s="241"/>
      <c r="B7" s="229" t="s">
        <v>16</v>
      </c>
      <c r="C7" s="229" t="s">
        <v>127</v>
      </c>
      <c r="D7" s="229" t="s">
        <v>17</v>
      </c>
      <c r="E7" s="229" t="s">
        <v>16</v>
      </c>
      <c r="F7" s="229" t="s">
        <v>128</v>
      </c>
      <c r="G7" s="13" t="s">
        <v>17</v>
      </c>
      <c r="H7" s="229" t="s">
        <v>16</v>
      </c>
      <c r="I7" s="229" t="s">
        <v>127</v>
      </c>
      <c r="J7" s="229" t="s">
        <v>17</v>
      </c>
      <c r="K7" s="231"/>
      <c r="L7" s="229" t="s">
        <v>31</v>
      </c>
      <c r="M7" s="229" t="s">
        <v>32</v>
      </c>
      <c r="N7" s="229" t="s">
        <v>33</v>
      </c>
      <c r="O7" s="229" t="s">
        <v>12</v>
      </c>
      <c r="P7" s="229" t="s">
        <v>34</v>
      </c>
      <c r="Q7" s="231"/>
      <c r="R7" s="233"/>
      <c r="S7" s="231"/>
      <c r="T7" s="247"/>
      <c r="U7" s="248"/>
      <c r="V7" s="231"/>
      <c r="W7" s="231"/>
      <c r="X7" s="249"/>
    </row>
    <row r="8" spans="1:24" s="16" customFormat="1" ht="13.5" customHeight="1" x14ac:dyDescent="0.2">
      <c r="A8" s="31">
        <v>1</v>
      </c>
      <c r="B8" s="14">
        <v>2</v>
      </c>
      <c r="C8" s="14" t="s">
        <v>130</v>
      </c>
      <c r="D8" s="14">
        <v>3</v>
      </c>
      <c r="E8" s="14">
        <v>4</v>
      </c>
      <c r="F8" s="14" t="s">
        <v>131</v>
      </c>
      <c r="G8" s="15">
        <v>5</v>
      </c>
      <c r="H8" s="14">
        <v>6</v>
      </c>
      <c r="I8" s="14" t="s">
        <v>132</v>
      </c>
      <c r="J8" s="14">
        <v>7</v>
      </c>
      <c r="K8" s="14">
        <v>8</v>
      </c>
      <c r="L8" s="14">
        <v>9</v>
      </c>
      <c r="M8" s="14">
        <v>10</v>
      </c>
      <c r="N8" s="14">
        <v>11</v>
      </c>
      <c r="O8" s="14">
        <v>12</v>
      </c>
      <c r="P8" s="14">
        <v>13</v>
      </c>
      <c r="Q8" s="14">
        <v>14</v>
      </c>
      <c r="R8" s="14">
        <v>15</v>
      </c>
      <c r="S8" s="14" t="s">
        <v>134</v>
      </c>
      <c r="T8" s="40">
        <v>16</v>
      </c>
      <c r="U8" s="31">
        <v>17</v>
      </c>
      <c r="V8" s="14" t="s">
        <v>135</v>
      </c>
      <c r="W8" s="14">
        <v>18</v>
      </c>
      <c r="X8" s="46">
        <v>19</v>
      </c>
    </row>
    <row r="9" spans="1:24" ht="42.75" hidden="1" customHeight="1" x14ac:dyDescent="0.2">
      <c r="A9" s="56" t="s">
        <v>35</v>
      </c>
      <c r="B9" s="17">
        <v>441.91</v>
      </c>
      <c r="C9" s="17"/>
      <c r="D9" s="17">
        <v>1028.6500000000001</v>
      </c>
      <c r="E9" s="17">
        <v>256.20999999999998</v>
      </c>
      <c r="F9" s="17"/>
      <c r="G9" s="17">
        <v>978.33</v>
      </c>
      <c r="H9" s="17">
        <v>0</v>
      </c>
      <c r="I9" s="17"/>
      <c r="J9" s="17">
        <v>33.86</v>
      </c>
      <c r="K9" s="17">
        <v>307.45</v>
      </c>
      <c r="L9" s="17" t="s">
        <v>36</v>
      </c>
      <c r="M9" s="17" t="s">
        <v>37</v>
      </c>
      <c r="N9" s="17" t="s">
        <v>38</v>
      </c>
      <c r="O9" s="17">
        <v>18</v>
      </c>
      <c r="P9" s="17">
        <v>57.49</v>
      </c>
      <c r="Q9" s="32">
        <v>40575</v>
      </c>
      <c r="R9" s="32"/>
      <c r="S9" s="32"/>
      <c r="T9" s="120">
        <v>1214.6300000000001</v>
      </c>
      <c r="U9" s="115">
        <f t="shared" ref="U9:U11" si="0">K9/1.2/B9*100</f>
        <v>57.977491646111943</v>
      </c>
      <c r="V9" s="17"/>
      <c r="W9" s="17">
        <f t="shared" ref="W9:W11" si="1">T9/1.2/D9*100</f>
        <v>98.400006480986406</v>
      </c>
      <c r="X9" s="116">
        <v>70.3</v>
      </c>
    </row>
    <row r="10" spans="1:24" ht="35.25" hidden="1" customHeight="1" x14ac:dyDescent="0.2">
      <c r="A10" s="56" t="s">
        <v>39</v>
      </c>
      <c r="B10" s="17">
        <v>366.81</v>
      </c>
      <c r="C10" s="17"/>
      <c r="D10" s="17">
        <v>1587.8</v>
      </c>
      <c r="E10" s="17">
        <v>243.71</v>
      </c>
      <c r="F10" s="17"/>
      <c r="G10" s="17">
        <v>952.85</v>
      </c>
      <c r="H10" s="17">
        <v>0</v>
      </c>
      <c r="I10" s="17"/>
      <c r="J10" s="17">
        <v>0</v>
      </c>
      <c r="K10" s="17">
        <v>292.452</v>
      </c>
      <c r="L10" s="17" t="s">
        <v>40</v>
      </c>
      <c r="M10" s="17">
        <v>8.4499999999999993</v>
      </c>
      <c r="N10" s="17">
        <v>0</v>
      </c>
      <c r="O10" s="17">
        <v>0</v>
      </c>
      <c r="P10" s="17">
        <v>0</v>
      </c>
      <c r="Q10" s="32">
        <v>40544</v>
      </c>
      <c r="R10" s="32"/>
      <c r="S10" s="32"/>
      <c r="T10" s="120">
        <v>1143.42</v>
      </c>
      <c r="U10" s="115">
        <f t="shared" si="0"/>
        <v>66.440391483329236</v>
      </c>
      <c r="V10" s="17"/>
      <c r="W10" s="17">
        <f t="shared" si="1"/>
        <v>60.010706638115643</v>
      </c>
      <c r="X10" s="116">
        <v>61.2</v>
      </c>
    </row>
    <row r="11" spans="1:24" ht="35.25" hidden="1" customHeight="1" x14ac:dyDescent="0.2">
      <c r="A11" s="56" t="s">
        <v>41</v>
      </c>
      <c r="B11" s="17">
        <v>372.47</v>
      </c>
      <c r="C11" s="17"/>
      <c r="D11" s="17">
        <v>1299.25</v>
      </c>
      <c r="E11" s="17">
        <v>239.5</v>
      </c>
      <c r="F11" s="17"/>
      <c r="G11" s="17">
        <v>948.54</v>
      </c>
      <c r="H11" s="17">
        <v>0</v>
      </c>
      <c r="I11" s="17"/>
      <c r="J11" s="17">
        <v>51.36</v>
      </c>
      <c r="K11" s="17">
        <v>287.39999999999998</v>
      </c>
      <c r="L11" s="17" t="s">
        <v>40</v>
      </c>
      <c r="M11" s="17">
        <v>8.14</v>
      </c>
      <c r="N11" s="17">
        <v>0</v>
      </c>
      <c r="O11" s="17">
        <v>0</v>
      </c>
      <c r="P11" s="17">
        <v>0</v>
      </c>
      <c r="Q11" s="32">
        <v>40544</v>
      </c>
      <c r="R11" s="32"/>
      <c r="S11" s="32"/>
      <c r="T11" s="120">
        <v>1199.9000000000001</v>
      </c>
      <c r="U11" s="115">
        <f t="shared" si="0"/>
        <v>64.300480575616831</v>
      </c>
      <c r="V11" s="17"/>
      <c r="W11" s="17">
        <f t="shared" si="1"/>
        <v>76.961067282406532</v>
      </c>
      <c r="X11" s="116">
        <v>71.400000000000006</v>
      </c>
    </row>
    <row r="12" spans="1:24" ht="49.5" customHeight="1" x14ac:dyDescent="0.2">
      <c r="A12" s="158" t="s">
        <v>203</v>
      </c>
      <c r="B12" s="17">
        <v>1153.51</v>
      </c>
      <c r="C12" s="17">
        <v>1581.06</v>
      </c>
      <c r="D12" s="17">
        <v>1572</v>
      </c>
      <c r="E12" s="17">
        <v>1146.8</v>
      </c>
      <c r="F12" s="17">
        <v>1138.8</v>
      </c>
      <c r="G12" s="17">
        <v>1474.69</v>
      </c>
      <c r="H12" s="17">
        <v>0</v>
      </c>
      <c r="I12" s="17">
        <v>0</v>
      </c>
      <c r="J12" s="17">
        <v>0</v>
      </c>
      <c r="K12" s="17">
        <f>1376.16/1.2</f>
        <v>1146.8000000000002</v>
      </c>
      <c r="L12" s="17" t="s">
        <v>43</v>
      </c>
      <c r="M12" s="17">
        <f>36.41/1.2</f>
        <v>30.341666666666665</v>
      </c>
      <c r="N12" s="17">
        <v>0</v>
      </c>
      <c r="O12" s="17">
        <v>0</v>
      </c>
      <c r="P12" s="17">
        <v>0</v>
      </c>
      <c r="Q12" s="32">
        <v>42552</v>
      </c>
      <c r="R12" s="159" t="s">
        <v>191</v>
      </c>
      <c r="S12" s="160">
        <f>1366.56/1.2</f>
        <v>1138.8</v>
      </c>
      <c r="T12" s="120">
        <f>1769.63/1.2</f>
        <v>1474.6916666666668</v>
      </c>
      <c r="U12" s="115">
        <f t="shared" ref="U12:U13" si="2">K12/B12*100</f>
        <v>99.418297197250155</v>
      </c>
      <c r="V12" s="17">
        <f>S12/C12*100</f>
        <v>72.027627035027137</v>
      </c>
      <c r="W12" s="17">
        <f t="shared" ref="W12:W15" si="3">T12/D12*100</f>
        <v>93.809902459711637</v>
      </c>
      <c r="X12" s="116">
        <v>96.47</v>
      </c>
    </row>
    <row r="13" spans="1:24" ht="45.75" customHeight="1" x14ac:dyDescent="0.2">
      <c r="A13" s="158" t="s">
        <v>206</v>
      </c>
      <c r="B13" s="17">
        <v>1062.8399999999999</v>
      </c>
      <c r="C13" s="17">
        <v>1529.5</v>
      </c>
      <c r="D13" s="17">
        <v>1529.5</v>
      </c>
      <c r="E13" s="17">
        <v>1089.8699999999999</v>
      </c>
      <c r="F13" s="17">
        <v>1388.92</v>
      </c>
      <c r="G13" s="17">
        <v>1500.05</v>
      </c>
      <c r="H13" s="17">
        <v>0</v>
      </c>
      <c r="I13" s="17">
        <v>0</v>
      </c>
      <c r="J13" s="17">
        <v>0</v>
      </c>
      <c r="K13" s="17">
        <f>1307.84/1.2</f>
        <v>1089.8666666666666</v>
      </c>
      <c r="L13" s="17" t="s">
        <v>44</v>
      </c>
      <c r="M13" s="17">
        <f>32.98/1.2</f>
        <v>27.483333333333331</v>
      </c>
      <c r="N13" s="17" t="s">
        <v>42</v>
      </c>
      <c r="O13" s="17">
        <f>13.58/1.2</f>
        <v>11.316666666666666</v>
      </c>
      <c r="P13" s="17">
        <f>39.74/1.2</f>
        <v>33.116666666666667</v>
      </c>
      <c r="Q13" s="32">
        <v>42552</v>
      </c>
      <c r="R13" s="161" t="s">
        <v>211</v>
      </c>
      <c r="S13" s="160">
        <v>1388.816</v>
      </c>
      <c r="T13" s="120">
        <f>1800.06/1.2</f>
        <v>1500.05</v>
      </c>
      <c r="U13" s="115">
        <f t="shared" si="2"/>
        <v>102.54287255529211</v>
      </c>
      <c r="V13" s="17">
        <f>S13/C13*100</f>
        <v>90.801961425302395</v>
      </c>
      <c r="W13" s="17">
        <f t="shared" si="3"/>
        <v>98.074534161490675</v>
      </c>
      <c r="X13" s="116">
        <v>90.36</v>
      </c>
    </row>
    <row r="14" spans="1:24" ht="97.5" customHeight="1" x14ac:dyDescent="0.2">
      <c r="A14" s="158" t="s">
        <v>204</v>
      </c>
      <c r="B14" s="17">
        <v>1469.6</v>
      </c>
      <c r="C14" s="17">
        <v>2124.1</v>
      </c>
      <c r="D14" s="17">
        <v>2124.1</v>
      </c>
      <c r="E14" s="17">
        <v>1322.9</v>
      </c>
      <c r="F14" s="17">
        <v>1325.5</v>
      </c>
      <c r="G14" s="17">
        <v>1780.97</v>
      </c>
      <c r="H14" s="17">
        <v>0</v>
      </c>
      <c r="I14" s="17">
        <v>0</v>
      </c>
      <c r="J14" s="17">
        <v>0</v>
      </c>
      <c r="K14" s="17">
        <f>1587.51/1.2</f>
        <v>1322.925</v>
      </c>
      <c r="L14" s="17" t="s">
        <v>43</v>
      </c>
      <c r="M14" s="17">
        <f>46.24/1.2</f>
        <v>38.533333333333339</v>
      </c>
      <c r="N14" s="17" t="s">
        <v>38</v>
      </c>
      <c r="O14" s="17">
        <f>84.29/1.2</f>
        <v>70.241666666666674</v>
      </c>
      <c r="P14" s="17">
        <f>268.46/1.2</f>
        <v>223.71666666666667</v>
      </c>
      <c r="Q14" s="32">
        <v>42552</v>
      </c>
      <c r="R14" s="292" t="s">
        <v>192</v>
      </c>
      <c r="S14" s="160">
        <f>1590.6/1.2</f>
        <v>1325.5</v>
      </c>
      <c r="T14" s="160">
        <f>2151.1/1.2</f>
        <v>1792.5833333333333</v>
      </c>
      <c r="U14" s="115">
        <f t="shared" ref="U14" si="4">K14/B14*100</f>
        <v>90.019393032117591</v>
      </c>
      <c r="V14" s="17">
        <f>S14/C14*100</f>
        <v>62.402900051786645</v>
      </c>
      <c r="W14" s="17">
        <f t="shared" si="3"/>
        <v>84.392605495660916</v>
      </c>
      <c r="X14" s="116">
        <v>85.3</v>
      </c>
    </row>
    <row r="15" spans="1:24" ht="47.25" customHeight="1" x14ac:dyDescent="0.2">
      <c r="A15" s="158" t="s">
        <v>205</v>
      </c>
      <c r="B15" s="17">
        <v>1305.1500000000001</v>
      </c>
      <c r="C15" s="17">
        <v>1558.48</v>
      </c>
      <c r="D15" s="17">
        <v>1579.6</v>
      </c>
      <c r="E15" s="17">
        <v>1106.27</v>
      </c>
      <c r="F15" s="17">
        <v>1146.79</v>
      </c>
      <c r="G15" s="17">
        <v>1493.14</v>
      </c>
      <c r="H15" s="17">
        <v>0</v>
      </c>
      <c r="I15" s="17">
        <v>0</v>
      </c>
      <c r="J15" s="17">
        <v>0</v>
      </c>
      <c r="K15" s="17">
        <f>1327.52/1.2</f>
        <v>1106.2666666666667</v>
      </c>
      <c r="L15" s="17" t="s">
        <v>43</v>
      </c>
      <c r="M15" s="17">
        <f>37.33/1.2</f>
        <v>31.108333333333334</v>
      </c>
      <c r="N15" s="17">
        <v>0</v>
      </c>
      <c r="O15" s="17">
        <v>0</v>
      </c>
      <c r="P15" s="17">
        <v>0</v>
      </c>
      <c r="Q15" s="42">
        <v>42552</v>
      </c>
      <c r="R15" s="159" t="s">
        <v>150</v>
      </c>
      <c r="S15" s="160">
        <f>1376.15/1.2</f>
        <v>1146.7916666666667</v>
      </c>
      <c r="T15" s="160">
        <f>1791.77/1.2</f>
        <v>1493.1416666666667</v>
      </c>
      <c r="U15" s="115">
        <f t="shared" ref="U15:U21" si="5">K15/B15*100</f>
        <v>84.761649363419266</v>
      </c>
      <c r="V15" s="17">
        <f t="shared" ref="V15:V21" si="6">S15/C15*100</f>
        <v>73.583983539517135</v>
      </c>
      <c r="W15" s="17">
        <f t="shared" si="3"/>
        <v>94.526567907487134</v>
      </c>
      <c r="X15" s="116">
        <v>82.4</v>
      </c>
    </row>
    <row r="16" spans="1:24" ht="211.5" customHeight="1" x14ac:dyDescent="0.2">
      <c r="A16" s="158" t="s">
        <v>45</v>
      </c>
      <c r="B16" s="17">
        <v>0</v>
      </c>
      <c r="C16" s="17">
        <v>1112.99</v>
      </c>
      <c r="D16" s="17">
        <v>1692.26</v>
      </c>
      <c r="E16" s="17">
        <v>0</v>
      </c>
      <c r="F16" s="17">
        <v>1112.99</v>
      </c>
      <c r="G16" s="17">
        <v>1692.26</v>
      </c>
      <c r="H16" s="17">
        <v>0</v>
      </c>
      <c r="I16" s="17">
        <v>0</v>
      </c>
      <c r="J16" s="17">
        <v>0</v>
      </c>
      <c r="K16" s="162">
        <v>0</v>
      </c>
      <c r="L16" s="163">
        <v>0</v>
      </c>
      <c r="M16" s="163">
        <v>0</v>
      </c>
      <c r="N16" s="163">
        <v>0</v>
      </c>
      <c r="O16" s="163">
        <v>0</v>
      </c>
      <c r="P16" s="164">
        <v>0</v>
      </c>
      <c r="Q16" s="135">
        <v>42782</v>
      </c>
      <c r="R16" s="293" t="s">
        <v>219</v>
      </c>
      <c r="S16" s="165">
        <f>1335.59/1.2</f>
        <v>1112.9916666666666</v>
      </c>
      <c r="T16" s="165">
        <f>2030.71/1.2</f>
        <v>1692.2583333333334</v>
      </c>
      <c r="U16" s="115">
        <v>0</v>
      </c>
      <c r="V16" s="17">
        <f t="shared" si="6"/>
        <v>100.00014974677818</v>
      </c>
      <c r="W16" s="17">
        <f t="shared" ref="W16:W21" si="7">T16/D16*100</f>
        <v>99.99990151237597</v>
      </c>
      <c r="X16" s="116">
        <v>100</v>
      </c>
    </row>
    <row r="17" spans="1:24" ht="112.5" customHeight="1" x14ac:dyDescent="0.2">
      <c r="A17" s="158" t="s">
        <v>194</v>
      </c>
      <c r="B17" s="17">
        <v>1173.75</v>
      </c>
      <c r="C17" s="17">
        <v>1718.63</v>
      </c>
      <c r="D17" s="17">
        <v>1718.63</v>
      </c>
      <c r="E17" s="17">
        <v>1133.5999999999999</v>
      </c>
      <c r="F17" s="17">
        <v>1608</v>
      </c>
      <c r="G17" s="17">
        <v>1606.5</v>
      </c>
      <c r="H17" s="17">
        <v>0</v>
      </c>
      <c r="I17" s="17">
        <v>0</v>
      </c>
      <c r="J17" s="17">
        <v>0</v>
      </c>
      <c r="K17" s="17">
        <v>1133.6400000000001</v>
      </c>
      <c r="L17" s="17" t="s">
        <v>36</v>
      </c>
      <c r="M17" s="17" t="s">
        <v>419</v>
      </c>
      <c r="N17" s="17">
        <v>0</v>
      </c>
      <c r="O17" s="17">
        <v>0</v>
      </c>
      <c r="P17" s="17">
        <v>0</v>
      </c>
      <c r="Q17" s="32">
        <v>43044</v>
      </c>
      <c r="R17" s="159" t="s">
        <v>416</v>
      </c>
      <c r="S17" s="160">
        <v>1608.37</v>
      </c>
      <c r="T17" s="160">
        <v>1606.5</v>
      </c>
      <c r="U17" s="115">
        <f t="shared" ref="U17" si="8">K17/B17*100</f>
        <v>96.58274760383388</v>
      </c>
      <c r="V17" s="17">
        <f t="shared" ref="V17" si="9">S17/C17*100</f>
        <v>93.584424803477177</v>
      </c>
      <c r="W17" s="17">
        <f t="shared" si="7"/>
        <v>93.475617206728614</v>
      </c>
      <c r="X17" s="116">
        <v>95.8</v>
      </c>
    </row>
    <row r="18" spans="1:24" ht="65.25" hidden="1" customHeight="1" x14ac:dyDescent="0.2">
      <c r="A18" s="136" t="s">
        <v>207</v>
      </c>
      <c r="B18" s="137"/>
      <c r="C18" s="137">
        <v>1217.8</v>
      </c>
      <c r="D18" s="137"/>
      <c r="E18" s="137"/>
      <c r="F18" s="137">
        <v>1199.5</v>
      </c>
      <c r="G18" s="137"/>
      <c r="H18" s="137"/>
      <c r="I18" s="137"/>
      <c r="J18" s="137"/>
      <c r="K18" s="137"/>
      <c r="L18" s="138"/>
      <c r="M18" s="138"/>
      <c r="N18" s="138"/>
      <c r="O18" s="138"/>
      <c r="P18" s="139"/>
      <c r="Q18" s="140"/>
      <c r="R18" s="141" t="s">
        <v>200</v>
      </c>
      <c r="S18" s="142">
        <v>1199.5</v>
      </c>
      <c r="T18" s="143"/>
      <c r="U18" s="144"/>
      <c r="V18" s="137">
        <f t="shared" si="6"/>
        <v>98.497290195434388</v>
      </c>
      <c r="W18" s="137"/>
      <c r="X18" s="145">
        <v>98.5</v>
      </c>
    </row>
    <row r="19" spans="1:24" ht="92.25" customHeight="1" x14ac:dyDescent="0.2">
      <c r="A19" s="158" t="s">
        <v>120</v>
      </c>
      <c r="B19" s="17">
        <v>570</v>
      </c>
      <c r="C19" s="17">
        <v>570</v>
      </c>
      <c r="D19" s="17">
        <v>570</v>
      </c>
      <c r="E19" s="17">
        <v>586.88</v>
      </c>
      <c r="F19" s="17">
        <v>577.38</v>
      </c>
      <c r="G19" s="17">
        <v>577.38</v>
      </c>
      <c r="H19" s="17">
        <v>0</v>
      </c>
      <c r="I19" s="17">
        <v>0</v>
      </c>
      <c r="J19" s="17">
        <v>0</v>
      </c>
      <c r="K19" s="17">
        <f>704.26/1.2</f>
        <v>586.88333333333333</v>
      </c>
      <c r="L19" s="137" t="s">
        <v>44</v>
      </c>
      <c r="M19" s="137">
        <f>21.92/1.2</f>
        <v>18.266666666666669</v>
      </c>
      <c r="N19" s="137">
        <v>0</v>
      </c>
      <c r="O19" s="137">
        <v>0</v>
      </c>
      <c r="P19" s="137">
        <v>0</v>
      </c>
      <c r="Q19" s="121">
        <v>42614</v>
      </c>
      <c r="R19" s="292" t="s">
        <v>208</v>
      </c>
      <c r="S19" s="17">
        <f>692.86/1.2</f>
        <v>577.38333333333333</v>
      </c>
      <c r="T19" s="162">
        <v>577.38</v>
      </c>
      <c r="U19" s="115">
        <f t="shared" si="5"/>
        <v>102.96198830409358</v>
      </c>
      <c r="V19" s="17">
        <f t="shared" si="6"/>
        <v>101.29532163742689</v>
      </c>
      <c r="W19" s="17">
        <f t="shared" si="7"/>
        <v>101.29473684210527</v>
      </c>
      <c r="X19" s="166">
        <v>101.85</v>
      </c>
    </row>
    <row r="20" spans="1:24" ht="93" customHeight="1" x14ac:dyDescent="0.2">
      <c r="A20" s="167" t="s">
        <v>46</v>
      </c>
      <c r="B20" s="168">
        <v>0</v>
      </c>
      <c r="C20" s="168">
        <v>1723.08</v>
      </c>
      <c r="D20" s="168">
        <v>0</v>
      </c>
      <c r="E20" s="168">
        <v>0</v>
      </c>
      <c r="F20" s="168">
        <v>2091.56</v>
      </c>
      <c r="G20" s="168">
        <v>0</v>
      </c>
      <c r="H20" s="168">
        <v>0</v>
      </c>
      <c r="I20" s="168">
        <v>0</v>
      </c>
      <c r="J20" s="168">
        <v>0</v>
      </c>
      <c r="K20" s="168">
        <v>0</v>
      </c>
      <c r="L20" s="168" t="s">
        <v>44</v>
      </c>
      <c r="M20" s="168">
        <v>0</v>
      </c>
      <c r="N20" s="168">
        <v>0</v>
      </c>
      <c r="O20" s="168">
        <v>0</v>
      </c>
      <c r="P20" s="168">
        <v>0</v>
      </c>
      <c r="Q20" s="42">
        <v>43043</v>
      </c>
      <c r="R20" s="42" t="s">
        <v>445</v>
      </c>
      <c r="S20" s="169">
        <v>2091.56</v>
      </c>
      <c r="T20" s="170">
        <v>0</v>
      </c>
      <c r="U20" s="115">
        <v>0</v>
      </c>
      <c r="V20" s="168">
        <f t="shared" si="6"/>
        <v>121.38496181256819</v>
      </c>
      <c r="W20" s="47">
        <v>0</v>
      </c>
      <c r="X20" s="171">
        <v>121.38</v>
      </c>
    </row>
    <row r="21" spans="1:24" ht="79.5" customHeight="1" thickBot="1" x14ac:dyDescent="0.25">
      <c r="A21" s="172" t="s">
        <v>178</v>
      </c>
      <c r="B21" s="173">
        <v>1799.64</v>
      </c>
      <c r="C21" s="173">
        <v>2001.05</v>
      </c>
      <c r="D21" s="173">
        <v>1860.22</v>
      </c>
      <c r="E21" s="173">
        <v>1339.98</v>
      </c>
      <c r="F21" s="173">
        <v>1824.53</v>
      </c>
      <c r="G21" s="173">
        <v>1903.86</v>
      </c>
      <c r="H21" s="173">
        <v>0</v>
      </c>
      <c r="I21" s="173">
        <v>0</v>
      </c>
      <c r="J21" s="173">
        <v>0</v>
      </c>
      <c r="K21" s="173">
        <v>1339.98</v>
      </c>
      <c r="L21" s="173" t="s">
        <v>43</v>
      </c>
      <c r="M21" s="173">
        <v>38.979999999999997</v>
      </c>
      <c r="N21" s="173">
        <v>0</v>
      </c>
      <c r="O21" s="173">
        <v>0</v>
      </c>
      <c r="P21" s="173">
        <v>0</v>
      </c>
      <c r="Q21" s="174">
        <v>43134</v>
      </c>
      <c r="R21" s="175" t="s">
        <v>457</v>
      </c>
      <c r="S21" s="176">
        <v>1824.53</v>
      </c>
      <c r="T21" s="177">
        <v>1903.86</v>
      </c>
      <c r="U21" s="178">
        <f t="shared" si="5"/>
        <v>74.458224978328985</v>
      </c>
      <c r="V21" s="179">
        <f t="shared" si="6"/>
        <v>91.178631218610235</v>
      </c>
      <c r="W21" s="179">
        <f t="shared" si="7"/>
        <v>102.3459590801088</v>
      </c>
      <c r="X21" s="180">
        <v>89.332999999999998</v>
      </c>
    </row>
    <row r="22" spans="1:24" ht="24" customHeight="1" x14ac:dyDescent="0.2">
      <c r="S22" s="294"/>
      <c r="T22" s="294"/>
    </row>
    <row r="23" spans="1:24" ht="27" customHeight="1" x14ac:dyDescent="0.2">
      <c r="M23" s="290"/>
      <c r="S23" s="295"/>
      <c r="T23" s="295"/>
    </row>
    <row r="24" spans="1:24" ht="14.25" customHeight="1" x14ac:dyDescent="0.2">
      <c r="A24" s="296"/>
    </row>
    <row r="26" spans="1:24" ht="16.5" customHeight="1" x14ac:dyDescent="0.2">
      <c r="A26" s="295"/>
    </row>
    <row r="30" spans="1:24" ht="0.75" customHeight="1" x14ac:dyDescent="0.2"/>
    <row r="31" spans="1:24" ht="14.25" hidden="1" customHeight="1" x14ac:dyDescent="0.2"/>
  </sheetData>
  <mergeCells count="22">
    <mergeCell ref="W1:X1"/>
    <mergeCell ref="A2:X2"/>
    <mergeCell ref="A4:A7"/>
    <mergeCell ref="B4:D6"/>
    <mergeCell ref="E4:J5"/>
    <mergeCell ref="U4:X4"/>
    <mergeCell ref="T5:T7"/>
    <mergeCell ref="U5:U7"/>
    <mergeCell ref="W5:W7"/>
    <mergeCell ref="X5:X7"/>
    <mergeCell ref="A3:X3"/>
    <mergeCell ref="V5:V7"/>
    <mergeCell ref="N6:P6"/>
    <mergeCell ref="Q6:Q7"/>
    <mergeCell ref="E6:G6"/>
    <mergeCell ref="K4:T4"/>
    <mergeCell ref="S5:S7"/>
    <mergeCell ref="R6:R7"/>
    <mergeCell ref="K5:R5"/>
    <mergeCell ref="H6:J6"/>
    <mergeCell ref="K6:K7"/>
    <mergeCell ref="L6:M6"/>
  </mergeCells>
  <phoneticPr fontId="12" type="noConversion"/>
  <printOptions horizontalCentered="1"/>
  <pageMargins left="0.19652777777777777" right="0.19652777777777777" top="0.59027777777777779" bottom="0.39374999999999999" header="0.51180555555555551" footer="0.51180555555555551"/>
  <pageSetup paperSize="9" scale="46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20"/>
  <sheetViews>
    <sheetView view="pageBreakPreview" zoomScale="70" zoomScaleNormal="75" zoomScaleSheetLayoutView="70" workbookViewId="0">
      <selection activeCell="P9" sqref="P9"/>
    </sheetView>
  </sheetViews>
  <sheetFormatPr defaultColWidth="9.140625" defaultRowHeight="12.75" x14ac:dyDescent="0.2"/>
  <cols>
    <col min="1" max="1" width="36.42578125" style="12" customWidth="1"/>
    <col min="2" max="2" width="11" style="12" customWidth="1"/>
    <col min="3" max="3" width="11" style="12" hidden="1" customWidth="1"/>
    <col min="4" max="4" width="11.140625" style="12" customWidth="1"/>
    <col min="5" max="5" width="10.5703125" style="12" customWidth="1"/>
    <col min="6" max="6" width="10.5703125" style="12" hidden="1" customWidth="1"/>
    <col min="7" max="7" width="12.85546875" style="12" customWidth="1"/>
    <col min="8" max="8" width="9.5703125" style="12" customWidth="1"/>
    <col min="9" max="9" width="9.5703125" style="12" hidden="1" customWidth="1"/>
    <col min="10" max="10" width="9.85546875" style="12" customWidth="1"/>
    <col min="11" max="11" width="12.42578125" style="12" customWidth="1"/>
    <col min="12" max="12" width="10.7109375" style="12" customWidth="1"/>
    <col min="13" max="13" width="10.85546875" style="12" customWidth="1"/>
    <col min="14" max="14" width="9.42578125" style="12" customWidth="1"/>
    <col min="15" max="15" width="17.28515625" style="12" customWidth="1"/>
    <col min="16" max="16" width="26.85546875" style="12" customWidth="1"/>
    <col min="17" max="17" width="15.7109375" style="12" hidden="1" customWidth="1"/>
    <col min="18" max="18" width="12.140625" style="12" customWidth="1"/>
    <col min="19" max="19" width="13.85546875" style="12" customWidth="1"/>
    <col min="20" max="20" width="13.85546875" style="12" hidden="1" customWidth="1"/>
    <col min="21" max="21" width="14.140625" style="12" customWidth="1"/>
    <col min="22" max="22" width="11.42578125" style="12" customWidth="1"/>
    <col min="23" max="23" width="9.140625" style="12"/>
    <col min="24" max="25" width="12.42578125" style="12" customWidth="1"/>
    <col min="26" max="16384" width="9.140625" style="12"/>
  </cols>
  <sheetData>
    <row r="1" spans="1:24" s="129" customFormat="1" ht="27.75" customHeight="1" x14ac:dyDescent="0.2">
      <c r="A1" s="239" t="s">
        <v>413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128"/>
      <c r="X1" s="128"/>
    </row>
    <row r="2" spans="1:24" s="129" customFormat="1" ht="34.5" customHeight="1" thickBot="1" x14ac:dyDescent="0.25">
      <c r="A2" s="239" t="str">
        <f>тепло!A3</f>
        <v>станом на 01.03.2018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128"/>
      <c r="X2" s="128"/>
    </row>
    <row r="3" spans="1:24" ht="27.2" customHeight="1" thickBot="1" x14ac:dyDescent="0.25">
      <c r="A3" s="297" t="s">
        <v>0</v>
      </c>
      <c r="B3" s="298" t="s">
        <v>1</v>
      </c>
      <c r="C3" s="298"/>
      <c r="D3" s="298"/>
      <c r="E3" s="299" t="s">
        <v>2</v>
      </c>
      <c r="F3" s="299"/>
      <c r="G3" s="299"/>
      <c r="H3" s="299"/>
      <c r="I3" s="299"/>
      <c r="J3" s="299"/>
      <c r="K3" s="299" t="s">
        <v>182</v>
      </c>
      <c r="L3" s="299"/>
      <c r="M3" s="299"/>
      <c r="N3" s="299"/>
      <c r="O3" s="299"/>
      <c r="P3" s="299"/>
      <c r="Q3" s="299"/>
      <c r="R3" s="299"/>
      <c r="S3" s="300" t="s">
        <v>4</v>
      </c>
      <c r="T3" s="300"/>
      <c r="U3" s="300"/>
      <c r="V3" s="300"/>
    </row>
    <row r="4" spans="1:24" ht="15" customHeight="1" thickBot="1" x14ac:dyDescent="0.25">
      <c r="A4" s="297"/>
      <c r="B4" s="298"/>
      <c r="C4" s="298"/>
      <c r="D4" s="298"/>
      <c r="E4" s="299"/>
      <c r="F4" s="299"/>
      <c r="G4" s="299"/>
      <c r="H4" s="299"/>
      <c r="I4" s="299"/>
      <c r="J4" s="299"/>
      <c r="K4" s="301" t="s">
        <v>5</v>
      </c>
      <c r="L4" s="302"/>
      <c r="M4" s="302"/>
      <c r="N4" s="302"/>
      <c r="O4" s="302"/>
      <c r="P4" s="303"/>
      <c r="Q4" s="304" t="s">
        <v>141</v>
      </c>
      <c r="R4" s="304" t="s">
        <v>6</v>
      </c>
      <c r="S4" s="304" t="s">
        <v>7</v>
      </c>
      <c r="T4" s="304" t="s">
        <v>139</v>
      </c>
      <c r="U4" s="304" t="s">
        <v>8</v>
      </c>
      <c r="V4" s="305" t="s">
        <v>9</v>
      </c>
    </row>
    <row r="5" spans="1:24" ht="30" customHeight="1" thickBot="1" x14ac:dyDescent="0.25">
      <c r="A5" s="297"/>
      <c r="B5" s="298"/>
      <c r="C5" s="298"/>
      <c r="D5" s="298"/>
      <c r="E5" s="306" t="s">
        <v>10</v>
      </c>
      <c r="F5" s="306"/>
      <c r="G5" s="306"/>
      <c r="H5" s="306" t="s">
        <v>11</v>
      </c>
      <c r="I5" s="306"/>
      <c r="J5" s="306"/>
      <c r="K5" s="307" t="s">
        <v>12</v>
      </c>
      <c r="L5" s="307" t="s">
        <v>13</v>
      </c>
      <c r="M5" s="307" t="s">
        <v>189</v>
      </c>
      <c r="N5" s="307" t="s">
        <v>14</v>
      </c>
      <c r="O5" s="304" t="s">
        <v>15</v>
      </c>
      <c r="P5" s="232" t="s">
        <v>129</v>
      </c>
      <c r="Q5" s="304"/>
      <c r="R5" s="304"/>
      <c r="S5" s="304"/>
      <c r="T5" s="304"/>
      <c r="U5" s="304"/>
      <c r="V5" s="305"/>
    </row>
    <row r="6" spans="1:24" ht="149.44999999999999" customHeight="1" x14ac:dyDescent="0.2">
      <c r="A6" s="297"/>
      <c r="B6" s="308" t="s">
        <v>16</v>
      </c>
      <c r="C6" s="308" t="s">
        <v>127</v>
      </c>
      <c r="D6" s="308" t="s">
        <v>17</v>
      </c>
      <c r="E6" s="308" t="s">
        <v>16</v>
      </c>
      <c r="F6" s="308" t="s">
        <v>127</v>
      </c>
      <c r="G6" s="308" t="s">
        <v>17</v>
      </c>
      <c r="H6" s="308" t="s">
        <v>16</v>
      </c>
      <c r="I6" s="308" t="s">
        <v>127</v>
      </c>
      <c r="J6" s="308" t="s">
        <v>17</v>
      </c>
      <c r="K6" s="307"/>
      <c r="L6" s="307"/>
      <c r="M6" s="307"/>
      <c r="N6" s="307"/>
      <c r="O6" s="304"/>
      <c r="P6" s="233"/>
      <c r="Q6" s="304"/>
      <c r="R6" s="304"/>
      <c r="S6" s="304"/>
      <c r="T6" s="304"/>
      <c r="U6" s="304"/>
      <c r="V6" s="305"/>
    </row>
    <row r="7" spans="1:24" s="16" customFormat="1" ht="18.75" customHeight="1" thickBot="1" x14ac:dyDescent="0.25">
      <c r="A7" s="309">
        <v>1</v>
      </c>
      <c r="B7" s="310">
        <v>2</v>
      </c>
      <c r="C7" s="310" t="s">
        <v>130</v>
      </c>
      <c r="D7" s="310">
        <v>3</v>
      </c>
      <c r="E7" s="310">
        <v>4</v>
      </c>
      <c r="F7" s="310" t="s">
        <v>131</v>
      </c>
      <c r="G7" s="310">
        <v>5</v>
      </c>
      <c r="H7" s="310">
        <v>6</v>
      </c>
      <c r="I7" s="310" t="s">
        <v>132</v>
      </c>
      <c r="J7" s="310">
        <v>7</v>
      </c>
      <c r="K7" s="310">
        <v>8</v>
      </c>
      <c r="L7" s="310">
        <v>9</v>
      </c>
      <c r="M7" s="310">
        <v>10</v>
      </c>
      <c r="N7" s="310">
        <v>11</v>
      </c>
      <c r="O7" s="310">
        <v>12</v>
      </c>
      <c r="P7" s="310">
        <v>13</v>
      </c>
      <c r="Q7" s="310" t="s">
        <v>140</v>
      </c>
      <c r="R7" s="310">
        <v>14</v>
      </c>
      <c r="S7" s="310">
        <v>15</v>
      </c>
      <c r="T7" s="310" t="s">
        <v>134</v>
      </c>
      <c r="U7" s="310">
        <v>16</v>
      </c>
      <c r="V7" s="311">
        <v>17</v>
      </c>
    </row>
    <row r="8" spans="1:24" ht="41.45" hidden="1" customHeight="1" thickBot="1" x14ac:dyDescent="0.25">
      <c r="A8" s="50" t="s">
        <v>177</v>
      </c>
      <c r="B8" s="51">
        <v>9.0679999999999996</v>
      </c>
      <c r="C8" s="51"/>
      <c r="D8" s="51">
        <v>9.0679999999999996</v>
      </c>
      <c r="E8" s="51">
        <v>8.3230000000000004</v>
      </c>
      <c r="F8" s="51">
        <v>8.3230000000000004</v>
      </c>
      <c r="G8" s="51">
        <v>8.3230000000000004</v>
      </c>
      <c r="H8" s="51">
        <v>0</v>
      </c>
      <c r="I8" s="51"/>
      <c r="J8" s="51">
        <v>0</v>
      </c>
      <c r="K8" s="51">
        <v>5.58</v>
      </c>
      <c r="L8" s="51">
        <v>32.36</v>
      </c>
      <c r="M8" s="51">
        <v>5.8</v>
      </c>
      <c r="N8" s="122">
        <v>24</v>
      </c>
      <c r="O8" s="52">
        <v>41518</v>
      </c>
      <c r="P8" s="52"/>
      <c r="Q8" s="44">
        <v>9.984</v>
      </c>
      <c r="R8" s="51">
        <v>9.984</v>
      </c>
      <c r="S8" s="53">
        <f t="shared" ref="S8" si="0">K8/1.2/B8*100</f>
        <v>51.27922364358183</v>
      </c>
      <c r="T8" s="53"/>
      <c r="U8" s="53">
        <f t="shared" ref="U8" si="1">R8/1.2/D8*100</f>
        <v>91.751213056903396</v>
      </c>
      <c r="V8" s="54">
        <v>55</v>
      </c>
      <c r="W8" s="312"/>
      <c r="X8" s="312"/>
    </row>
    <row r="9" spans="1:24" ht="56.25" x14ac:dyDescent="0.2">
      <c r="A9" s="181" t="s">
        <v>20</v>
      </c>
      <c r="B9" s="182">
        <v>6.55</v>
      </c>
      <c r="C9" s="182">
        <v>6.55</v>
      </c>
      <c r="D9" s="182">
        <v>6.55</v>
      </c>
      <c r="E9" s="183">
        <v>6.1</v>
      </c>
      <c r="F9" s="183">
        <v>6.1</v>
      </c>
      <c r="G9" s="183">
        <v>6.1</v>
      </c>
      <c r="H9" s="182">
        <v>0</v>
      </c>
      <c r="I9" s="182">
        <v>0</v>
      </c>
      <c r="J9" s="182">
        <v>0</v>
      </c>
      <c r="K9" s="182">
        <f>7.32/1.2</f>
        <v>6.1000000000000005</v>
      </c>
      <c r="L9" s="183">
        <f>67.34/1.2</f>
        <v>56.116666666666674</v>
      </c>
      <c r="M9" s="182" t="s">
        <v>210</v>
      </c>
      <c r="N9" s="184">
        <v>24</v>
      </c>
      <c r="O9" s="185">
        <v>42917</v>
      </c>
      <c r="P9" s="313" t="s">
        <v>409</v>
      </c>
      <c r="Q9" s="182">
        <f>7.32/1.2</f>
        <v>6.1000000000000005</v>
      </c>
      <c r="R9" s="182">
        <f>7.32/1.2</f>
        <v>6.1000000000000005</v>
      </c>
      <c r="S9" s="36">
        <f t="shared" ref="S9" si="2">K9/B9*100</f>
        <v>93.129770992366417</v>
      </c>
      <c r="T9" s="36">
        <f t="shared" ref="T9" si="3">Q9/C9*100</f>
        <v>93.129770992366417</v>
      </c>
      <c r="U9" s="36">
        <f t="shared" ref="U9" si="4">R9/D9*100</f>
        <v>93.129770992366417</v>
      </c>
      <c r="V9" s="57">
        <v>93.1</v>
      </c>
    </row>
    <row r="10" spans="1:24" ht="75.75" customHeight="1" x14ac:dyDescent="0.2">
      <c r="A10" s="56" t="s">
        <v>202</v>
      </c>
      <c r="B10" s="7">
        <v>5.88</v>
      </c>
      <c r="C10" s="7">
        <v>5.88</v>
      </c>
      <c r="D10" s="7">
        <v>5.88</v>
      </c>
      <c r="E10" s="7">
        <v>3.89</v>
      </c>
      <c r="F10" s="7">
        <v>3.89</v>
      </c>
      <c r="G10" s="7">
        <v>3.89</v>
      </c>
      <c r="H10" s="7">
        <v>0</v>
      </c>
      <c r="I10" s="7">
        <v>0</v>
      </c>
      <c r="J10" s="7">
        <v>0</v>
      </c>
      <c r="K10" s="7">
        <f>4.668/1.2</f>
        <v>3.89</v>
      </c>
      <c r="L10" s="7">
        <f>31.95/1.2</f>
        <v>26.625</v>
      </c>
      <c r="M10" s="7" t="s">
        <v>213</v>
      </c>
      <c r="N10" s="34">
        <v>24</v>
      </c>
      <c r="O10" s="32">
        <v>42125</v>
      </c>
      <c r="P10" s="39" t="s">
        <v>146</v>
      </c>
      <c r="Q10" s="7">
        <f>4.668/1.2</f>
        <v>3.89</v>
      </c>
      <c r="R10" s="7">
        <f>4.668/1.2</f>
        <v>3.89</v>
      </c>
      <c r="S10" s="36">
        <f t="shared" ref="S10:S17" si="5">K10/B10*100</f>
        <v>66.156462585034021</v>
      </c>
      <c r="T10" s="36">
        <f t="shared" ref="T10:T17" si="6">Q10/C10*100</f>
        <v>66.156462585034021</v>
      </c>
      <c r="U10" s="36">
        <f t="shared" ref="U10:U17" si="7">R10/D10*100</f>
        <v>66.156462585034021</v>
      </c>
      <c r="V10" s="57">
        <v>66.2</v>
      </c>
    </row>
    <row r="11" spans="1:24" ht="62.25" customHeight="1" x14ac:dyDescent="0.2">
      <c r="A11" s="56" t="s">
        <v>195</v>
      </c>
      <c r="B11" s="6">
        <v>17.195</v>
      </c>
      <c r="C11" s="6">
        <v>17.195</v>
      </c>
      <c r="D11" s="6">
        <v>17.195</v>
      </c>
      <c r="E11" s="7">
        <v>15.33</v>
      </c>
      <c r="F11" s="7">
        <v>15.33</v>
      </c>
      <c r="G11" s="7">
        <v>15.33</v>
      </c>
      <c r="H11" s="7">
        <v>0</v>
      </c>
      <c r="I11" s="7">
        <v>0</v>
      </c>
      <c r="J11" s="7">
        <v>0</v>
      </c>
      <c r="K11" s="7">
        <v>15.33</v>
      </c>
      <c r="L11" s="7">
        <v>100.03</v>
      </c>
      <c r="M11" s="7" t="s">
        <v>187</v>
      </c>
      <c r="N11" s="38" t="s">
        <v>180</v>
      </c>
      <c r="O11" s="32">
        <v>43125</v>
      </c>
      <c r="P11" s="35" t="s">
        <v>446</v>
      </c>
      <c r="Q11" s="7">
        <v>15.33</v>
      </c>
      <c r="R11" s="7">
        <v>15.33</v>
      </c>
      <c r="S11" s="36">
        <f t="shared" si="5"/>
        <v>89.153823785984301</v>
      </c>
      <c r="T11" s="36">
        <f t="shared" si="6"/>
        <v>89.153823785984301</v>
      </c>
      <c r="U11" s="36">
        <f t="shared" si="7"/>
        <v>89.153823785984301</v>
      </c>
      <c r="V11" s="57">
        <v>89.2</v>
      </c>
    </row>
    <row r="12" spans="1:24" ht="102.75" customHeight="1" thickBot="1" x14ac:dyDescent="0.25">
      <c r="A12" s="118" t="s">
        <v>201</v>
      </c>
      <c r="B12" s="187">
        <v>10.19</v>
      </c>
      <c r="C12" s="187">
        <v>10.19</v>
      </c>
      <c r="D12" s="187">
        <v>10.19</v>
      </c>
      <c r="E12" s="187">
        <v>9.0145</v>
      </c>
      <c r="F12" s="187">
        <v>10.813000000000001</v>
      </c>
      <c r="G12" s="187">
        <v>10.813000000000001</v>
      </c>
      <c r="H12" s="187">
        <v>0</v>
      </c>
      <c r="I12" s="187">
        <v>0</v>
      </c>
      <c r="J12" s="187">
        <v>0</v>
      </c>
      <c r="K12" s="187">
        <f>10.8175/1.2</f>
        <v>9.0145833333333343</v>
      </c>
      <c r="L12" s="187">
        <v>51.9</v>
      </c>
      <c r="M12" s="188" t="s">
        <v>209</v>
      </c>
      <c r="N12" s="189">
        <v>24</v>
      </c>
      <c r="O12" s="190">
        <v>43040</v>
      </c>
      <c r="P12" s="213" t="s">
        <v>420</v>
      </c>
      <c r="Q12" s="187">
        <f>12.9756/1.2</f>
        <v>10.813000000000001</v>
      </c>
      <c r="R12" s="187">
        <f>12.9756/1.2</f>
        <v>10.813000000000001</v>
      </c>
      <c r="S12" s="36">
        <f t="shared" si="5"/>
        <v>88.464998364409567</v>
      </c>
      <c r="T12" s="36">
        <f t="shared" si="6"/>
        <v>106.11383709519137</v>
      </c>
      <c r="U12" s="36">
        <f t="shared" si="7"/>
        <v>106.11383709519137</v>
      </c>
      <c r="V12" s="192">
        <v>97.3</v>
      </c>
    </row>
    <row r="13" spans="1:24" ht="84.75" customHeight="1" x14ac:dyDescent="0.2">
      <c r="A13" s="118" t="s">
        <v>21</v>
      </c>
      <c r="B13" s="6">
        <v>11.984999999999999</v>
      </c>
      <c r="C13" s="6">
        <v>11.984999999999999</v>
      </c>
      <c r="D13" s="6">
        <v>11.984999999999999</v>
      </c>
      <c r="E13" s="6">
        <v>8.9329999999999998</v>
      </c>
      <c r="F13" s="6">
        <v>8.9329999999999998</v>
      </c>
      <c r="G13" s="6">
        <v>8.9329999999999998</v>
      </c>
      <c r="H13" s="6">
        <v>1.7090000000000001</v>
      </c>
      <c r="I13" s="6">
        <v>1.7090000000000001</v>
      </c>
      <c r="J13" s="6">
        <v>1.7090000000000001</v>
      </c>
      <c r="K13" s="142">
        <f>12.77/1.2</f>
        <v>10.641666666666667</v>
      </c>
      <c r="L13" s="6">
        <f>97.1/1.2</f>
        <v>80.916666666666671</v>
      </c>
      <c r="M13" s="7" t="s">
        <v>188</v>
      </c>
      <c r="N13" s="123">
        <v>24</v>
      </c>
      <c r="O13" s="121">
        <v>42952</v>
      </c>
      <c r="P13" s="142" t="s">
        <v>410</v>
      </c>
      <c r="Q13" s="142">
        <f>12.77/1.2</f>
        <v>10.641666666666667</v>
      </c>
      <c r="R13" s="142">
        <f>12.77/1.2</f>
        <v>10.641666666666667</v>
      </c>
      <c r="S13" s="36">
        <f t="shared" si="5"/>
        <v>88.791544986789049</v>
      </c>
      <c r="T13" s="36">
        <f t="shared" si="6"/>
        <v>88.791544986789049</v>
      </c>
      <c r="U13" s="36">
        <f t="shared" si="7"/>
        <v>88.791544986789049</v>
      </c>
      <c r="V13" s="124">
        <v>88.8</v>
      </c>
    </row>
    <row r="14" spans="1:24" ht="75.75" customHeight="1" x14ac:dyDescent="0.2">
      <c r="A14" s="56" t="s">
        <v>147</v>
      </c>
      <c r="B14" s="6">
        <v>20.3</v>
      </c>
      <c r="C14" s="6">
        <v>19.600000000000001</v>
      </c>
      <c r="D14" s="6">
        <v>17.2</v>
      </c>
      <c r="E14" s="6">
        <v>15.72</v>
      </c>
      <c r="F14" s="6">
        <v>15.72</v>
      </c>
      <c r="G14" s="6">
        <v>15.72</v>
      </c>
      <c r="H14" s="7">
        <v>0</v>
      </c>
      <c r="I14" s="7">
        <v>0</v>
      </c>
      <c r="J14" s="7">
        <v>0</v>
      </c>
      <c r="K14" s="7">
        <v>15.72</v>
      </c>
      <c r="L14" s="7">
        <f>85.81/1.2</f>
        <v>71.50833333333334</v>
      </c>
      <c r="M14" s="7" t="s">
        <v>214</v>
      </c>
      <c r="N14" s="34">
        <v>24</v>
      </c>
      <c r="O14" s="32">
        <v>42826</v>
      </c>
      <c r="P14" s="35" t="s">
        <v>224</v>
      </c>
      <c r="Q14" s="7">
        <v>15.72</v>
      </c>
      <c r="R14" s="7">
        <v>15.72</v>
      </c>
      <c r="S14" s="36">
        <f t="shared" si="5"/>
        <v>77.438423645320199</v>
      </c>
      <c r="T14" s="36">
        <f t="shared" si="6"/>
        <v>80.204081632653057</v>
      </c>
      <c r="U14" s="36">
        <f t="shared" si="7"/>
        <v>91.395348837209312</v>
      </c>
      <c r="V14" s="57">
        <v>83</v>
      </c>
    </row>
    <row r="15" spans="1:24" ht="75" customHeight="1" x14ac:dyDescent="0.2">
      <c r="A15" s="56" t="s">
        <v>142</v>
      </c>
      <c r="B15" s="6">
        <v>12.15</v>
      </c>
      <c r="C15" s="6">
        <v>12.15</v>
      </c>
      <c r="D15" s="6">
        <v>12.15</v>
      </c>
      <c r="E15" s="6">
        <v>11.43</v>
      </c>
      <c r="F15" s="6">
        <v>11.43</v>
      </c>
      <c r="G15" s="6">
        <v>11.43</v>
      </c>
      <c r="H15" s="7">
        <v>0</v>
      </c>
      <c r="I15" s="7">
        <v>0</v>
      </c>
      <c r="J15" s="7">
        <v>0</v>
      </c>
      <c r="K15" s="7">
        <f>13.716/1.2</f>
        <v>11.43</v>
      </c>
      <c r="L15" s="7">
        <v>0</v>
      </c>
      <c r="M15" s="7" t="s">
        <v>215</v>
      </c>
      <c r="N15" s="34">
        <v>24</v>
      </c>
      <c r="O15" s="32">
        <v>42584</v>
      </c>
      <c r="P15" s="35" t="s">
        <v>217</v>
      </c>
      <c r="Q15" s="7">
        <f>13.716/1.2</f>
        <v>11.43</v>
      </c>
      <c r="R15" s="7">
        <f>13.716/1.2</f>
        <v>11.43</v>
      </c>
      <c r="S15" s="36">
        <f t="shared" si="5"/>
        <v>94.074074074074062</v>
      </c>
      <c r="T15" s="36">
        <f t="shared" si="6"/>
        <v>94.074074074074062</v>
      </c>
      <c r="U15" s="36">
        <f t="shared" si="7"/>
        <v>94.074074074074062</v>
      </c>
      <c r="V15" s="192">
        <v>94.1</v>
      </c>
    </row>
    <row r="16" spans="1:24" ht="88.5" customHeight="1" thickBot="1" x14ac:dyDescent="0.25">
      <c r="A16" s="193" t="s">
        <v>148</v>
      </c>
      <c r="B16" s="51">
        <v>16.03</v>
      </c>
      <c r="C16" s="51">
        <v>16.03</v>
      </c>
      <c r="D16" s="51">
        <v>16.03</v>
      </c>
      <c r="E16" s="187">
        <v>12.958399999999999</v>
      </c>
      <c r="F16" s="187">
        <v>20.397300000000001</v>
      </c>
      <c r="G16" s="187">
        <v>20.397300000000001</v>
      </c>
      <c r="H16" s="44">
        <v>0</v>
      </c>
      <c r="I16" s="44">
        <v>0</v>
      </c>
      <c r="J16" s="44">
        <v>0</v>
      </c>
      <c r="K16" s="7">
        <f>15.5501/1.2</f>
        <v>12.958416666666668</v>
      </c>
      <c r="L16" s="44">
        <v>0</v>
      </c>
      <c r="M16" s="7" t="s">
        <v>186</v>
      </c>
      <c r="N16" s="147">
        <v>24</v>
      </c>
      <c r="O16" s="32">
        <v>43070</v>
      </c>
      <c r="P16" s="35" t="s">
        <v>435</v>
      </c>
      <c r="Q16" s="194">
        <v>20.397300000000001</v>
      </c>
      <c r="R16" s="194">
        <v>20.397300000000001</v>
      </c>
      <c r="S16" s="36">
        <f t="shared" si="5"/>
        <v>80.838531919317944</v>
      </c>
      <c r="T16" s="36">
        <f t="shared" si="6"/>
        <v>127.24454148471615</v>
      </c>
      <c r="U16" s="36">
        <f t="shared" si="7"/>
        <v>127.24454148471615</v>
      </c>
      <c r="V16" s="195">
        <v>111.8</v>
      </c>
    </row>
    <row r="17" spans="1:22" ht="172.5" customHeight="1" thickBot="1" x14ac:dyDescent="0.25">
      <c r="A17" s="196" t="s">
        <v>149</v>
      </c>
      <c r="B17" s="197">
        <v>11.356</v>
      </c>
      <c r="C17" s="197">
        <v>11.356</v>
      </c>
      <c r="D17" s="197">
        <v>11.356</v>
      </c>
      <c r="E17" s="197">
        <v>13.28</v>
      </c>
      <c r="F17" s="197">
        <v>13.28</v>
      </c>
      <c r="G17" s="197">
        <v>13.28</v>
      </c>
      <c r="H17" s="197">
        <v>0</v>
      </c>
      <c r="I17" s="197">
        <v>0</v>
      </c>
      <c r="J17" s="197">
        <v>0</v>
      </c>
      <c r="K17" s="198">
        <f>7.164/1.2</f>
        <v>5.97</v>
      </c>
      <c r="L17" s="197">
        <v>0</v>
      </c>
      <c r="M17" s="198" t="s">
        <v>186</v>
      </c>
      <c r="N17" s="314" t="s">
        <v>226</v>
      </c>
      <c r="O17" s="174">
        <v>42600</v>
      </c>
      <c r="P17" s="174" t="s">
        <v>193</v>
      </c>
      <c r="Q17" s="199">
        <f>7.164/1.2</f>
        <v>5.97</v>
      </c>
      <c r="R17" s="199">
        <f>7.164/1.2</f>
        <v>5.97</v>
      </c>
      <c r="S17" s="200">
        <f t="shared" si="5"/>
        <v>52.571327932370551</v>
      </c>
      <c r="T17" s="200">
        <f t="shared" si="6"/>
        <v>52.571327932370551</v>
      </c>
      <c r="U17" s="200">
        <f t="shared" si="7"/>
        <v>52.571327932370551</v>
      </c>
      <c r="V17" s="201">
        <v>52.6</v>
      </c>
    </row>
    <row r="18" spans="1:22" s="316" customFormat="1" ht="18.75" x14ac:dyDescent="0.2">
      <c r="A18" s="315" t="s">
        <v>190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N18" s="317"/>
    </row>
    <row r="19" spans="1:22" x14ac:dyDescent="0.2">
      <c r="Q19" s="318"/>
    </row>
    <row r="20" spans="1:22" ht="37.700000000000003" customHeight="1" x14ac:dyDescent="0.2"/>
  </sheetData>
  <mergeCells count="24">
    <mergeCell ref="A18:L18"/>
    <mergeCell ref="W8:X8"/>
    <mergeCell ref="U4:U6"/>
    <mergeCell ref="V4:V6"/>
    <mergeCell ref="H5:J5"/>
    <mergeCell ref="S4:S6"/>
    <mergeCell ref="R4:R6"/>
    <mergeCell ref="P5:P6"/>
    <mergeCell ref="Q4:Q6"/>
    <mergeCell ref="T4:T6"/>
    <mergeCell ref="A1:V1"/>
    <mergeCell ref="K3:R3"/>
    <mergeCell ref="L5:L6"/>
    <mergeCell ref="K5:K6"/>
    <mergeCell ref="S3:V3"/>
    <mergeCell ref="E5:G5"/>
    <mergeCell ref="K4:P4"/>
    <mergeCell ref="A2:V2"/>
    <mergeCell ref="A3:A6"/>
    <mergeCell ref="B3:D5"/>
    <mergeCell ref="E3:J4"/>
    <mergeCell ref="M5:M6"/>
    <mergeCell ref="N5:N6"/>
    <mergeCell ref="O5:O6"/>
  </mergeCells>
  <phoneticPr fontId="12" type="noConversion"/>
  <printOptions horizontalCentered="1"/>
  <pageMargins left="0.19652777777777777" right="0.19652777777777777" top="0.59027777777777779" bottom="0.39374999999999999" header="0.51180555555555551" footer="0.51180555555555551"/>
  <pageSetup paperSize="9" scale="46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view="pageBreakPreview" zoomScale="57" zoomScaleNormal="75" zoomScaleSheetLayoutView="57" workbookViewId="0">
      <selection activeCell="G8" sqref="G8"/>
    </sheetView>
  </sheetViews>
  <sheetFormatPr defaultColWidth="9.140625" defaultRowHeight="12.75" x14ac:dyDescent="0.2"/>
  <cols>
    <col min="1" max="1" width="36.42578125" style="12" customWidth="1"/>
    <col min="2" max="2" width="11" style="12" customWidth="1"/>
    <col min="3" max="3" width="11" style="12" hidden="1" customWidth="1"/>
    <col min="4" max="4" width="11.140625" style="12" customWidth="1"/>
    <col min="5" max="5" width="11.5703125" style="12" customWidth="1"/>
    <col min="6" max="6" width="11.5703125" style="12" hidden="1" customWidth="1"/>
    <col min="7" max="7" width="12.85546875" style="12" customWidth="1"/>
    <col min="8" max="9" width="9.5703125" style="12" customWidth="1"/>
    <col min="10" max="10" width="9.85546875" style="12" customWidth="1"/>
    <col min="11" max="11" width="12.42578125" style="12" customWidth="1"/>
    <col min="12" max="12" width="11.85546875" style="12" customWidth="1"/>
    <col min="13" max="13" width="10.85546875" style="12" customWidth="1"/>
    <col min="14" max="14" width="9.42578125" style="12" customWidth="1"/>
    <col min="15" max="15" width="17.28515625" style="12" customWidth="1"/>
    <col min="16" max="16" width="26.7109375" style="12" customWidth="1"/>
    <col min="17" max="17" width="15.7109375" style="12" hidden="1" customWidth="1"/>
    <col min="18" max="18" width="12.140625" style="12" customWidth="1"/>
    <col min="19" max="19" width="14.85546875" style="12" customWidth="1"/>
    <col min="20" max="20" width="13.85546875" style="12" hidden="1" customWidth="1"/>
    <col min="21" max="21" width="14.140625" style="12" customWidth="1"/>
    <col min="22" max="22" width="11.42578125" style="12" customWidth="1"/>
    <col min="23" max="23" width="9.140625" style="12"/>
    <col min="24" max="25" width="12.42578125" style="12" customWidth="1"/>
    <col min="26" max="16384" width="9.140625" style="12"/>
  </cols>
  <sheetData>
    <row r="1" spans="1:24" ht="21.6" customHeight="1" x14ac:dyDescent="0.2">
      <c r="U1" s="291"/>
      <c r="V1" s="291"/>
    </row>
    <row r="2" spans="1:24" s="129" customFormat="1" ht="39.75" customHeight="1" x14ac:dyDescent="0.2">
      <c r="A2" s="239" t="s">
        <v>183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128"/>
      <c r="X2" s="128"/>
    </row>
    <row r="3" spans="1:24" s="129" customFormat="1" ht="30.75" customHeight="1" x14ac:dyDescent="0.2">
      <c r="A3" s="264" t="s">
        <v>456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128"/>
      <c r="X3" s="128"/>
    </row>
    <row r="4" spans="1:24" ht="19.899999999999999" customHeight="1" thickBot="1" x14ac:dyDescent="0.25">
      <c r="A4" s="319"/>
      <c r="B4" s="319"/>
      <c r="C4" s="319"/>
    </row>
    <row r="5" spans="1:24" ht="27.2" customHeight="1" thickBot="1" x14ac:dyDescent="0.25">
      <c r="A5" s="320" t="s">
        <v>0</v>
      </c>
      <c r="B5" s="321" t="s">
        <v>1</v>
      </c>
      <c r="C5" s="321"/>
      <c r="D5" s="321"/>
      <c r="E5" s="322" t="s">
        <v>2</v>
      </c>
      <c r="F5" s="322"/>
      <c r="G5" s="322"/>
      <c r="H5" s="322"/>
      <c r="I5" s="322"/>
      <c r="J5" s="322"/>
      <c r="K5" s="322" t="s">
        <v>182</v>
      </c>
      <c r="L5" s="322"/>
      <c r="M5" s="322"/>
      <c r="N5" s="322"/>
      <c r="O5" s="322"/>
      <c r="P5" s="322"/>
      <c r="Q5" s="322"/>
      <c r="R5" s="322"/>
      <c r="S5" s="323" t="s">
        <v>4</v>
      </c>
      <c r="T5" s="323"/>
      <c r="U5" s="323"/>
      <c r="V5" s="324"/>
    </row>
    <row r="6" spans="1:24" ht="15" customHeight="1" thickBot="1" x14ac:dyDescent="0.25">
      <c r="A6" s="325"/>
      <c r="B6" s="298"/>
      <c r="C6" s="298"/>
      <c r="D6" s="298"/>
      <c r="E6" s="299"/>
      <c r="F6" s="299"/>
      <c r="G6" s="299"/>
      <c r="H6" s="299"/>
      <c r="I6" s="299"/>
      <c r="J6" s="299"/>
      <c r="K6" s="301" t="s">
        <v>5</v>
      </c>
      <c r="L6" s="302"/>
      <c r="M6" s="302"/>
      <c r="N6" s="302"/>
      <c r="O6" s="302"/>
      <c r="P6" s="303"/>
      <c r="Q6" s="304" t="s">
        <v>141</v>
      </c>
      <c r="R6" s="304" t="s">
        <v>6</v>
      </c>
      <c r="S6" s="304" t="s">
        <v>7</v>
      </c>
      <c r="T6" s="304" t="s">
        <v>139</v>
      </c>
      <c r="U6" s="304" t="s">
        <v>8</v>
      </c>
      <c r="V6" s="326" t="s">
        <v>9</v>
      </c>
    </row>
    <row r="7" spans="1:24" ht="30" customHeight="1" thickBot="1" x14ac:dyDescent="0.25">
      <c r="A7" s="325"/>
      <c r="B7" s="298"/>
      <c r="C7" s="298"/>
      <c r="D7" s="298"/>
      <c r="E7" s="306" t="s">
        <v>10</v>
      </c>
      <c r="F7" s="306"/>
      <c r="G7" s="306"/>
      <c r="H7" s="306" t="s">
        <v>11</v>
      </c>
      <c r="I7" s="306"/>
      <c r="J7" s="306"/>
      <c r="K7" s="307" t="s">
        <v>12</v>
      </c>
      <c r="L7" s="307" t="s">
        <v>13</v>
      </c>
      <c r="M7" s="307" t="s">
        <v>184</v>
      </c>
      <c r="N7" s="307" t="s">
        <v>14</v>
      </c>
      <c r="O7" s="304" t="s">
        <v>15</v>
      </c>
      <c r="P7" s="232" t="s">
        <v>129</v>
      </c>
      <c r="Q7" s="304"/>
      <c r="R7" s="304"/>
      <c r="S7" s="304"/>
      <c r="T7" s="304"/>
      <c r="U7" s="304"/>
      <c r="V7" s="326"/>
    </row>
    <row r="8" spans="1:24" ht="149.44999999999999" customHeight="1" x14ac:dyDescent="0.2">
      <c r="A8" s="325"/>
      <c r="B8" s="308" t="s">
        <v>16</v>
      </c>
      <c r="C8" s="308" t="s">
        <v>127</v>
      </c>
      <c r="D8" s="308" t="s">
        <v>17</v>
      </c>
      <c r="E8" s="308" t="s">
        <v>16</v>
      </c>
      <c r="F8" s="308" t="s">
        <v>127</v>
      </c>
      <c r="G8" s="308" t="s">
        <v>17</v>
      </c>
      <c r="H8" s="308" t="s">
        <v>16</v>
      </c>
      <c r="I8" s="308" t="s">
        <v>127</v>
      </c>
      <c r="J8" s="308" t="s">
        <v>17</v>
      </c>
      <c r="K8" s="307"/>
      <c r="L8" s="307"/>
      <c r="M8" s="307"/>
      <c r="N8" s="307"/>
      <c r="O8" s="304"/>
      <c r="P8" s="233"/>
      <c r="Q8" s="304"/>
      <c r="R8" s="304"/>
      <c r="S8" s="304"/>
      <c r="T8" s="304"/>
      <c r="U8" s="304"/>
      <c r="V8" s="326"/>
    </row>
    <row r="9" spans="1:24" s="16" customFormat="1" ht="18.75" customHeight="1" thickBot="1" x14ac:dyDescent="0.25">
      <c r="A9" s="327">
        <v>1</v>
      </c>
      <c r="B9" s="310">
        <v>2</v>
      </c>
      <c r="C9" s="310" t="s">
        <v>130</v>
      </c>
      <c r="D9" s="310">
        <v>3</v>
      </c>
      <c r="E9" s="310">
        <v>4</v>
      </c>
      <c r="F9" s="310" t="s">
        <v>131</v>
      </c>
      <c r="G9" s="310">
        <v>5</v>
      </c>
      <c r="H9" s="310">
        <v>6</v>
      </c>
      <c r="I9" s="310" t="s">
        <v>132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 t="s">
        <v>140</v>
      </c>
      <c r="R9" s="310">
        <v>14</v>
      </c>
      <c r="S9" s="310">
        <v>15</v>
      </c>
      <c r="T9" s="310" t="s">
        <v>134</v>
      </c>
      <c r="U9" s="310">
        <v>16</v>
      </c>
      <c r="V9" s="328">
        <v>17</v>
      </c>
    </row>
    <row r="10" spans="1:24" ht="41.45" hidden="1" customHeight="1" x14ac:dyDescent="0.2">
      <c r="A10" s="118" t="s">
        <v>177</v>
      </c>
      <c r="B10" s="6">
        <v>9.0679999999999996</v>
      </c>
      <c r="C10" s="6"/>
      <c r="D10" s="6">
        <v>9.0679999999999996</v>
      </c>
      <c r="E10" s="6">
        <v>8.3230000000000004</v>
      </c>
      <c r="F10" s="6">
        <v>8.3230000000000004</v>
      </c>
      <c r="G10" s="6">
        <v>8.3230000000000004</v>
      </c>
      <c r="H10" s="6">
        <v>0</v>
      </c>
      <c r="I10" s="6"/>
      <c r="J10" s="6">
        <v>0</v>
      </c>
      <c r="K10" s="6">
        <v>5.58</v>
      </c>
      <c r="L10" s="6">
        <v>32.36</v>
      </c>
      <c r="M10" s="6">
        <v>5.8</v>
      </c>
      <c r="N10" s="123">
        <v>24</v>
      </c>
      <c r="O10" s="121">
        <v>41518</v>
      </c>
      <c r="P10" s="121"/>
      <c r="Q10" s="7">
        <v>9.984</v>
      </c>
      <c r="R10" s="6">
        <v>9.984</v>
      </c>
      <c r="S10" s="19">
        <f t="shared" ref="S10:S19" si="0">K10/1.2/B10*100</f>
        <v>51.27922364358183</v>
      </c>
      <c r="T10" s="19"/>
      <c r="U10" s="19">
        <f>R10/1.2/D10*100</f>
        <v>91.751213056903396</v>
      </c>
      <c r="V10" s="124">
        <v>55</v>
      </c>
      <c r="W10" s="312"/>
      <c r="X10" s="312"/>
    </row>
    <row r="11" spans="1:24" ht="75" hidden="1" customHeight="1" x14ac:dyDescent="0.2">
      <c r="A11" s="56" t="s">
        <v>142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7"/>
      <c r="N11" s="34"/>
      <c r="O11" s="32"/>
      <c r="P11" s="35"/>
      <c r="Q11" s="7"/>
      <c r="R11" s="7"/>
      <c r="S11" s="19" t="e">
        <f t="shared" si="0"/>
        <v>#DIV/0!</v>
      </c>
      <c r="T11" s="36" t="e">
        <f>Q11/1.2/C11*100</f>
        <v>#DIV/0!</v>
      </c>
      <c r="U11" s="19" t="e">
        <f t="shared" ref="U11:U19" si="1">R11/1.2/D11*100</f>
        <v>#DIV/0!</v>
      </c>
      <c r="V11" s="57"/>
      <c r="W11" s="12">
        <v>42.5</v>
      </c>
    </row>
    <row r="12" spans="1:24" ht="75.75" hidden="1" customHeight="1" x14ac:dyDescent="0.2">
      <c r="A12" s="56" t="s">
        <v>147</v>
      </c>
      <c r="B12" s="6"/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34"/>
      <c r="O12" s="32"/>
      <c r="P12" s="35"/>
      <c r="Q12" s="7"/>
      <c r="R12" s="7"/>
      <c r="S12" s="19" t="e">
        <f>K12/B12*100</f>
        <v>#DIV/0!</v>
      </c>
      <c r="T12" s="36" t="e">
        <f>Q12/C12*100</f>
        <v>#DIV/0!</v>
      </c>
      <c r="U12" s="19" t="e">
        <f>R12/D12*100</f>
        <v>#DIV/0!</v>
      </c>
      <c r="V12" s="57"/>
      <c r="W12" s="12">
        <v>100.5</v>
      </c>
    </row>
    <row r="13" spans="1:24" ht="73.5" hidden="1" customHeight="1" x14ac:dyDescent="0.2">
      <c r="A13" s="56" t="s">
        <v>148</v>
      </c>
      <c r="B13" s="6"/>
      <c r="C13" s="6"/>
      <c r="D13" s="6"/>
      <c r="E13" s="6"/>
      <c r="F13" s="6"/>
      <c r="G13" s="6"/>
      <c r="H13" s="7"/>
      <c r="I13" s="7"/>
      <c r="J13" s="7"/>
      <c r="K13" s="7"/>
      <c r="L13" s="7"/>
      <c r="M13" s="7"/>
      <c r="N13" s="34"/>
      <c r="O13" s="32"/>
      <c r="P13" s="35"/>
      <c r="Q13" s="7"/>
      <c r="R13" s="7"/>
      <c r="S13" s="19" t="e">
        <f t="shared" si="0"/>
        <v>#DIV/0!</v>
      </c>
      <c r="T13" s="36" t="e">
        <f t="shared" ref="T13:T19" si="2">Q13/1.2/C13*100</f>
        <v>#DIV/0!</v>
      </c>
      <c r="U13" s="19" t="e">
        <f t="shared" si="1"/>
        <v>#DIV/0!</v>
      </c>
      <c r="V13" s="58"/>
      <c r="W13" s="12">
        <v>55.3</v>
      </c>
    </row>
    <row r="14" spans="1:24" ht="59.25" hidden="1" customHeight="1" x14ac:dyDescent="0.2">
      <c r="A14" s="56" t="s">
        <v>149</v>
      </c>
      <c r="B14" s="7"/>
      <c r="C14" s="7"/>
      <c r="D14" s="7"/>
      <c r="E14" s="6"/>
      <c r="F14" s="6"/>
      <c r="G14" s="6"/>
      <c r="H14" s="7"/>
      <c r="I14" s="7"/>
      <c r="J14" s="7"/>
      <c r="K14" s="7"/>
      <c r="L14" s="7"/>
      <c r="M14" s="7"/>
      <c r="N14" s="34"/>
      <c r="O14" s="32"/>
      <c r="P14" s="35"/>
      <c r="Q14" s="7"/>
      <c r="R14" s="7"/>
      <c r="S14" s="19" t="e">
        <f t="shared" si="0"/>
        <v>#DIV/0!</v>
      </c>
      <c r="T14" s="36" t="e">
        <f t="shared" si="2"/>
        <v>#DIV/0!</v>
      </c>
      <c r="U14" s="19" t="e">
        <f t="shared" si="1"/>
        <v>#DIV/0!</v>
      </c>
      <c r="V14" s="57"/>
      <c r="W14" s="12">
        <v>6.9</v>
      </c>
      <c r="X14" s="12" t="s">
        <v>179</v>
      </c>
    </row>
    <row r="15" spans="1:24" ht="62.25" hidden="1" customHeight="1" x14ac:dyDescent="0.2">
      <c r="A15" s="56" t="s">
        <v>18</v>
      </c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7"/>
      <c r="N15" s="38"/>
      <c r="O15" s="32"/>
      <c r="P15" s="35"/>
      <c r="Q15" s="7"/>
      <c r="R15" s="7"/>
      <c r="S15" s="19" t="e">
        <f t="shared" si="0"/>
        <v>#DIV/0!</v>
      </c>
      <c r="T15" s="36" t="e">
        <f t="shared" si="2"/>
        <v>#DIV/0!</v>
      </c>
      <c r="U15" s="19" t="e">
        <f t="shared" si="1"/>
        <v>#DIV/0!</v>
      </c>
      <c r="V15" s="57"/>
      <c r="W15" s="12">
        <v>79.900000000000006</v>
      </c>
    </row>
    <row r="16" spans="1:24" ht="75.75" hidden="1" customHeight="1" x14ac:dyDescent="0.2">
      <c r="A16" s="59" t="s">
        <v>19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4"/>
      <c r="O16" s="32"/>
      <c r="P16" s="39"/>
      <c r="Q16" s="7"/>
      <c r="R16" s="7"/>
      <c r="S16" s="36" t="e">
        <f t="shared" si="0"/>
        <v>#DIV/0!</v>
      </c>
      <c r="T16" s="36" t="e">
        <f t="shared" si="2"/>
        <v>#DIV/0!</v>
      </c>
      <c r="U16" s="36" t="e">
        <f t="shared" si="1"/>
        <v>#DIV/0!</v>
      </c>
      <c r="V16" s="57"/>
      <c r="W16" s="12">
        <v>119.5</v>
      </c>
    </row>
    <row r="17" spans="1:23" ht="56.25" x14ac:dyDescent="0.2">
      <c r="A17" s="56" t="s">
        <v>20</v>
      </c>
      <c r="B17" s="17">
        <v>6.08</v>
      </c>
      <c r="C17" s="17">
        <v>6.08</v>
      </c>
      <c r="D17" s="17">
        <v>6.08</v>
      </c>
      <c r="E17" s="17">
        <v>6.14</v>
      </c>
      <c r="F17" s="17">
        <v>6.14</v>
      </c>
      <c r="G17" s="17">
        <v>6.14</v>
      </c>
      <c r="H17" s="36">
        <v>0</v>
      </c>
      <c r="I17" s="36">
        <v>0</v>
      </c>
      <c r="J17" s="36">
        <v>0</v>
      </c>
      <c r="K17" s="17">
        <v>6.14</v>
      </c>
      <c r="L17" s="17">
        <v>28</v>
      </c>
      <c r="M17" s="7" t="s">
        <v>185</v>
      </c>
      <c r="N17" s="34">
        <f>'[1]Тар-В'!J$16</f>
        <v>24</v>
      </c>
      <c r="O17" s="32">
        <v>43087</v>
      </c>
      <c r="P17" s="160" t="s">
        <v>447</v>
      </c>
      <c r="Q17" s="7">
        <v>6.14</v>
      </c>
      <c r="R17" s="7">
        <v>6.14</v>
      </c>
      <c r="S17" s="36">
        <f>K17/B17*100</f>
        <v>100.98684210526314</v>
      </c>
      <c r="T17" s="36">
        <f t="shared" ref="T17" si="3">Q17/C17*100</f>
        <v>100.98684210526314</v>
      </c>
      <c r="U17" s="36">
        <f t="shared" ref="U17" si="4">R17/D17*100</f>
        <v>100.98684210526314</v>
      </c>
      <c r="V17" s="57">
        <v>101.1</v>
      </c>
    </row>
    <row r="18" spans="1:23" ht="84.75" hidden="1" customHeight="1" x14ac:dyDescent="0.2">
      <c r="A18" s="56" t="s">
        <v>21</v>
      </c>
      <c r="B18" s="7"/>
      <c r="C18" s="7"/>
      <c r="D18" s="7"/>
      <c r="E18" s="7"/>
      <c r="F18" s="7"/>
      <c r="G18" s="7"/>
      <c r="H18" s="36"/>
      <c r="I18" s="36"/>
      <c r="J18" s="36"/>
      <c r="K18" s="7"/>
      <c r="L18" s="7"/>
      <c r="M18" s="7"/>
      <c r="N18" s="34"/>
      <c r="O18" s="32"/>
      <c r="P18" s="160" t="s">
        <v>197</v>
      </c>
      <c r="Q18" s="7"/>
      <c r="R18" s="7"/>
      <c r="S18" s="36" t="e">
        <f t="shared" si="0"/>
        <v>#DIV/0!</v>
      </c>
      <c r="T18" s="36" t="e">
        <f t="shared" si="2"/>
        <v>#DIV/0!</v>
      </c>
      <c r="U18" s="36" t="e">
        <f>R18/1.2/D18*100</f>
        <v>#DIV/0!</v>
      </c>
      <c r="V18" s="57"/>
      <c r="W18" s="12">
        <v>82.1</v>
      </c>
    </row>
    <row r="19" spans="1:23" ht="102.75" hidden="1" customHeight="1" thickBot="1" x14ac:dyDescent="0.25">
      <c r="A19" s="148" t="s">
        <v>22</v>
      </c>
      <c r="B19" s="44"/>
      <c r="C19" s="44"/>
      <c r="D19" s="44"/>
      <c r="E19" s="44"/>
      <c r="F19" s="44"/>
      <c r="G19" s="44"/>
      <c r="H19" s="47"/>
      <c r="I19" s="47"/>
      <c r="J19" s="47"/>
      <c r="K19" s="44"/>
      <c r="L19" s="44"/>
      <c r="M19" s="44"/>
      <c r="N19" s="147"/>
      <c r="O19" s="42"/>
      <c r="P19" s="160" t="s">
        <v>198</v>
      </c>
      <c r="Q19" s="44"/>
      <c r="R19" s="44"/>
      <c r="S19" s="47" t="e">
        <f t="shared" si="0"/>
        <v>#DIV/0!</v>
      </c>
      <c r="T19" s="47" t="e">
        <f t="shared" si="2"/>
        <v>#DIV/0!</v>
      </c>
      <c r="U19" s="47" t="e">
        <f t="shared" si="1"/>
        <v>#DIV/0!</v>
      </c>
      <c r="V19" s="149"/>
      <c r="W19" s="12">
        <v>51.2</v>
      </c>
    </row>
    <row r="20" spans="1:23" ht="75.75" customHeight="1" x14ac:dyDescent="0.2">
      <c r="A20" s="56" t="s">
        <v>195</v>
      </c>
      <c r="B20" s="160">
        <v>17.548999999999999</v>
      </c>
      <c r="C20" s="160">
        <v>17.548999999999999</v>
      </c>
      <c r="D20" s="160">
        <v>17.548999999999999</v>
      </c>
      <c r="E20" s="17">
        <v>15.72</v>
      </c>
      <c r="F20" s="17">
        <v>15.72</v>
      </c>
      <c r="G20" s="17">
        <v>15.72</v>
      </c>
      <c r="H20" s="36">
        <v>0</v>
      </c>
      <c r="I20" s="36">
        <v>0</v>
      </c>
      <c r="J20" s="36">
        <v>0</v>
      </c>
      <c r="K20" s="17">
        <v>15.72</v>
      </c>
      <c r="L20" s="17">
        <v>111.65</v>
      </c>
      <c r="M20" s="7" t="s">
        <v>196</v>
      </c>
      <c r="N20" s="202" t="s">
        <v>180</v>
      </c>
      <c r="O20" s="32">
        <v>43125</v>
      </c>
      <c r="P20" s="160" t="s">
        <v>448</v>
      </c>
      <c r="Q20" s="7">
        <v>15.72</v>
      </c>
      <c r="R20" s="7">
        <v>15.72</v>
      </c>
      <c r="S20" s="36">
        <f>K20/B20*100</f>
        <v>89.577753718160579</v>
      </c>
      <c r="T20" s="36">
        <f t="shared" ref="T20:U22" si="5">Q20/C20*100</f>
        <v>89.577753718160579</v>
      </c>
      <c r="U20" s="36">
        <f t="shared" si="5"/>
        <v>89.577753718160579</v>
      </c>
      <c r="V20" s="57">
        <v>89.6</v>
      </c>
    </row>
    <row r="21" spans="1:23" ht="51.75" customHeight="1" x14ac:dyDescent="0.2">
      <c r="A21" s="56" t="s">
        <v>142</v>
      </c>
      <c r="B21" s="7">
        <v>12.78</v>
      </c>
      <c r="C21" s="7">
        <v>12.78</v>
      </c>
      <c r="D21" s="7">
        <v>12.78</v>
      </c>
      <c r="E21" s="160">
        <v>12.016999999999999</v>
      </c>
      <c r="F21" s="160">
        <v>12.016999999999999</v>
      </c>
      <c r="G21" s="160">
        <v>12.016999999999999</v>
      </c>
      <c r="H21" s="36">
        <v>0</v>
      </c>
      <c r="I21" s="36">
        <v>0</v>
      </c>
      <c r="J21" s="36">
        <v>0</v>
      </c>
      <c r="K21" s="160">
        <f>14.42/1.2</f>
        <v>12.016666666666667</v>
      </c>
      <c r="L21" s="7">
        <v>0</v>
      </c>
      <c r="M21" s="203">
        <v>6.3</v>
      </c>
      <c r="N21" s="189">
        <v>24</v>
      </c>
      <c r="O21" s="32">
        <v>42654</v>
      </c>
      <c r="P21" s="160" t="s">
        <v>417</v>
      </c>
      <c r="Q21" s="160">
        <f>14.42/1.2</f>
        <v>12.016666666666667</v>
      </c>
      <c r="R21" s="160">
        <f>14.42/1.2</f>
        <v>12.016666666666667</v>
      </c>
      <c r="S21" s="36">
        <f>K21/B21*100</f>
        <v>94.027125717266571</v>
      </c>
      <c r="T21" s="36">
        <f t="shared" si="5"/>
        <v>94.027125717266571</v>
      </c>
      <c r="U21" s="36">
        <f t="shared" si="5"/>
        <v>94.027125717266571</v>
      </c>
      <c r="V21" s="57">
        <v>94</v>
      </c>
    </row>
    <row r="22" spans="1:23" ht="188.25" customHeight="1" thickBot="1" x14ac:dyDescent="0.25">
      <c r="A22" s="196" t="s">
        <v>149</v>
      </c>
      <c r="B22" s="198">
        <v>12.13</v>
      </c>
      <c r="C22" s="198">
        <v>12.13</v>
      </c>
      <c r="D22" s="198">
        <v>12.13</v>
      </c>
      <c r="E22" s="198">
        <v>13.81</v>
      </c>
      <c r="F22" s="198">
        <v>13.81</v>
      </c>
      <c r="G22" s="198">
        <v>13.81</v>
      </c>
      <c r="H22" s="200">
        <v>0</v>
      </c>
      <c r="I22" s="200">
        <v>0</v>
      </c>
      <c r="J22" s="200">
        <v>0</v>
      </c>
      <c r="K22" s="198">
        <f>7.8/1.2</f>
        <v>6.5</v>
      </c>
      <c r="L22" s="198">
        <v>0</v>
      </c>
      <c r="M22" s="204">
        <v>6.3</v>
      </c>
      <c r="N22" s="329" t="s">
        <v>226</v>
      </c>
      <c r="O22" s="205">
        <v>42705</v>
      </c>
      <c r="P22" s="330" t="s">
        <v>218</v>
      </c>
      <c r="Q22" s="198">
        <f>7.8/1.2</f>
        <v>6.5</v>
      </c>
      <c r="R22" s="198">
        <f>7.8/1.2</f>
        <v>6.5</v>
      </c>
      <c r="S22" s="200">
        <f>K22/B22*100</f>
        <v>53.586150041220115</v>
      </c>
      <c r="T22" s="200">
        <f t="shared" si="5"/>
        <v>53.586150041220115</v>
      </c>
      <c r="U22" s="200">
        <f t="shared" si="5"/>
        <v>53.586150041220115</v>
      </c>
      <c r="V22" s="206">
        <v>53.6</v>
      </c>
    </row>
    <row r="23" spans="1:23" hidden="1" x14ac:dyDescent="0.2"/>
    <row r="24" spans="1:23" hidden="1" x14ac:dyDescent="0.2"/>
    <row r="25" spans="1:23" hidden="1" x14ac:dyDescent="0.2"/>
    <row r="26" spans="1:23" hidden="1" x14ac:dyDescent="0.2"/>
    <row r="27" spans="1:23" hidden="1" x14ac:dyDescent="0.2"/>
    <row r="28" spans="1:23" hidden="1" x14ac:dyDescent="0.2"/>
  </sheetData>
  <mergeCells count="24">
    <mergeCell ref="O7:O8"/>
    <mergeCell ref="P7:P8"/>
    <mergeCell ref="W10:X10"/>
    <mergeCell ref="R6:R8"/>
    <mergeCell ref="S6:S8"/>
    <mergeCell ref="T6:T8"/>
    <mergeCell ref="U6:U8"/>
    <mergeCell ref="V6:V8"/>
    <mergeCell ref="U1:V1"/>
    <mergeCell ref="A2:V2"/>
    <mergeCell ref="A3:V3"/>
    <mergeCell ref="A5:A8"/>
    <mergeCell ref="B5:D7"/>
    <mergeCell ref="E5:J6"/>
    <mergeCell ref="K5:R5"/>
    <mergeCell ref="S5:V5"/>
    <mergeCell ref="K6:P6"/>
    <mergeCell ref="Q6:Q8"/>
    <mergeCell ref="E7:G7"/>
    <mergeCell ref="H7:J7"/>
    <mergeCell ref="K7:K8"/>
    <mergeCell ref="L7:L8"/>
    <mergeCell ref="M7:M8"/>
    <mergeCell ref="N7:N8"/>
  </mergeCells>
  <printOptions horizontalCentered="1"/>
  <pageMargins left="0.19685039370078741" right="0.19685039370078741" top="0.59055118110236227" bottom="0.39370078740157483" header="0.51181102362204722" footer="0.51181102362204722"/>
  <pageSetup paperSize="9" scale="46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view="pageBreakPreview" zoomScale="55" zoomScaleNormal="75" zoomScaleSheetLayoutView="55" workbookViewId="0">
      <selection activeCell="A5" sqref="A5:A8"/>
    </sheetView>
  </sheetViews>
  <sheetFormatPr defaultColWidth="9.140625" defaultRowHeight="12.75" x14ac:dyDescent="0.2"/>
  <cols>
    <col min="1" max="1" width="36.42578125" style="1" customWidth="1"/>
    <col min="2" max="2" width="11" style="1" customWidth="1"/>
    <col min="3" max="3" width="11" style="1" hidden="1" customWidth="1"/>
    <col min="4" max="4" width="11.140625" style="1" customWidth="1"/>
    <col min="5" max="5" width="10.5703125" style="1" customWidth="1"/>
    <col min="6" max="6" width="10.5703125" style="1" hidden="1" customWidth="1"/>
    <col min="7" max="7" width="12.85546875" style="1" customWidth="1"/>
    <col min="8" max="8" width="9.5703125" style="1" customWidth="1"/>
    <col min="9" max="9" width="9.5703125" style="1" hidden="1" customWidth="1"/>
    <col min="10" max="10" width="9.85546875" style="1" customWidth="1"/>
    <col min="11" max="11" width="12.42578125" style="1" customWidth="1"/>
    <col min="12" max="12" width="10.7109375" style="1" customWidth="1"/>
    <col min="13" max="13" width="17.28515625" style="1" customWidth="1"/>
    <col min="14" max="14" width="26.85546875" style="1" customWidth="1"/>
    <col min="15" max="15" width="15.7109375" style="1" hidden="1" customWidth="1"/>
    <col min="16" max="16" width="12.140625" style="1" customWidth="1"/>
    <col min="17" max="17" width="13.85546875" style="1" customWidth="1"/>
    <col min="18" max="18" width="13.85546875" style="1" hidden="1" customWidth="1"/>
    <col min="19" max="19" width="14.140625" style="1" customWidth="1"/>
    <col min="20" max="20" width="11.42578125" style="1" customWidth="1"/>
    <col min="21" max="21" width="9.140625" style="1"/>
    <col min="22" max="23" width="12.42578125" style="1" customWidth="1"/>
    <col min="24" max="16384" width="9.140625" style="1"/>
  </cols>
  <sheetData>
    <row r="1" spans="1:22" ht="21.6" customHeight="1" x14ac:dyDescent="0.2">
      <c r="S1" s="238"/>
      <c r="T1" s="238"/>
    </row>
    <row r="2" spans="1:22" s="131" customFormat="1" ht="66.75" customHeight="1" x14ac:dyDescent="0.2">
      <c r="A2" s="264" t="s">
        <v>414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130"/>
      <c r="V2" s="130"/>
    </row>
    <row r="3" spans="1:22" s="131" customFormat="1" ht="30.75" customHeight="1" x14ac:dyDescent="0.2">
      <c r="A3" s="264" t="s">
        <v>456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130"/>
      <c r="V3" s="130"/>
    </row>
    <row r="4" spans="1:22" ht="19.899999999999999" customHeight="1" thickBot="1" x14ac:dyDescent="0.25">
      <c r="A4" s="30"/>
      <c r="B4" s="30"/>
      <c r="C4" s="30"/>
    </row>
    <row r="5" spans="1:22" ht="27.2" customHeight="1" thickBot="1" x14ac:dyDescent="0.25">
      <c r="A5" s="259" t="s">
        <v>0</v>
      </c>
      <c r="B5" s="260" t="s">
        <v>1</v>
      </c>
      <c r="C5" s="260"/>
      <c r="D5" s="260"/>
      <c r="E5" s="252" t="s">
        <v>2</v>
      </c>
      <c r="F5" s="252"/>
      <c r="G5" s="252"/>
      <c r="H5" s="252"/>
      <c r="I5" s="252"/>
      <c r="J5" s="252"/>
      <c r="K5" s="252" t="s">
        <v>182</v>
      </c>
      <c r="L5" s="252"/>
      <c r="M5" s="252"/>
      <c r="N5" s="252"/>
      <c r="O5" s="252"/>
      <c r="P5" s="252"/>
      <c r="Q5" s="254" t="s">
        <v>4</v>
      </c>
      <c r="R5" s="254"/>
      <c r="S5" s="254"/>
      <c r="T5" s="254"/>
    </row>
    <row r="6" spans="1:22" ht="15" customHeight="1" thickBot="1" x14ac:dyDescent="0.25">
      <c r="A6" s="259"/>
      <c r="B6" s="260"/>
      <c r="C6" s="260"/>
      <c r="D6" s="260"/>
      <c r="E6" s="252"/>
      <c r="F6" s="252"/>
      <c r="G6" s="252"/>
      <c r="H6" s="252"/>
      <c r="I6" s="252"/>
      <c r="J6" s="252"/>
      <c r="K6" s="256" t="s">
        <v>5</v>
      </c>
      <c r="L6" s="257"/>
      <c r="M6" s="257"/>
      <c r="N6" s="258"/>
      <c r="O6" s="261" t="s">
        <v>141</v>
      </c>
      <c r="P6" s="261" t="s">
        <v>6</v>
      </c>
      <c r="Q6" s="261" t="s">
        <v>7</v>
      </c>
      <c r="R6" s="261" t="s">
        <v>139</v>
      </c>
      <c r="S6" s="261" t="s">
        <v>8</v>
      </c>
      <c r="T6" s="263" t="s">
        <v>9</v>
      </c>
    </row>
    <row r="7" spans="1:22" ht="30" customHeight="1" thickBot="1" x14ac:dyDescent="0.25">
      <c r="A7" s="259"/>
      <c r="B7" s="260"/>
      <c r="C7" s="260"/>
      <c r="D7" s="260"/>
      <c r="E7" s="255" t="s">
        <v>10</v>
      </c>
      <c r="F7" s="255"/>
      <c r="G7" s="255"/>
      <c r="H7" s="255" t="s">
        <v>11</v>
      </c>
      <c r="I7" s="255"/>
      <c r="J7" s="255"/>
      <c r="K7" s="253" t="s">
        <v>12</v>
      </c>
      <c r="L7" s="253" t="s">
        <v>13</v>
      </c>
      <c r="M7" s="261" t="s">
        <v>15</v>
      </c>
      <c r="N7" s="232" t="s">
        <v>129</v>
      </c>
      <c r="O7" s="261"/>
      <c r="P7" s="261"/>
      <c r="Q7" s="261"/>
      <c r="R7" s="261"/>
      <c r="S7" s="261"/>
      <c r="T7" s="263"/>
    </row>
    <row r="8" spans="1:22" ht="149.44999999999999" customHeight="1" x14ac:dyDescent="0.2">
      <c r="A8" s="259"/>
      <c r="B8" s="119" t="s">
        <v>16</v>
      </c>
      <c r="C8" s="119" t="s">
        <v>127</v>
      </c>
      <c r="D8" s="119" t="s">
        <v>17</v>
      </c>
      <c r="E8" s="119" t="s">
        <v>16</v>
      </c>
      <c r="F8" s="119" t="s">
        <v>127</v>
      </c>
      <c r="G8" s="119" t="s">
        <v>17</v>
      </c>
      <c r="H8" s="119" t="s">
        <v>16</v>
      </c>
      <c r="I8" s="119" t="s">
        <v>127</v>
      </c>
      <c r="J8" s="119" t="s">
        <v>17</v>
      </c>
      <c r="K8" s="253"/>
      <c r="L8" s="253"/>
      <c r="M8" s="261"/>
      <c r="N8" s="233"/>
      <c r="O8" s="261"/>
      <c r="P8" s="261"/>
      <c r="Q8" s="261"/>
      <c r="R8" s="261"/>
      <c r="S8" s="261"/>
      <c r="T8" s="263"/>
    </row>
    <row r="9" spans="1:22" s="5" customFormat="1" ht="18.75" customHeight="1" thickBot="1" x14ac:dyDescent="0.25">
      <c r="A9" s="2">
        <v>1</v>
      </c>
      <c r="B9" s="3">
        <v>2</v>
      </c>
      <c r="C9" s="3" t="s">
        <v>130</v>
      </c>
      <c r="D9" s="3">
        <v>3</v>
      </c>
      <c r="E9" s="3">
        <v>4</v>
      </c>
      <c r="F9" s="3" t="s">
        <v>131</v>
      </c>
      <c r="G9" s="3">
        <v>5</v>
      </c>
      <c r="H9" s="3">
        <v>6</v>
      </c>
      <c r="I9" s="3" t="s">
        <v>132</v>
      </c>
      <c r="J9" s="3">
        <v>7</v>
      </c>
      <c r="K9" s="3">
        <v>8</v>
      </c>
      <c r="L9" s="3">
        <v>9</v>
      </c>
      <c r="M9" s="3">
        <v>12</v>
      </c>
      <c r="N9" s="3">
        <v>13</v>
      </c>
      <c r="O9" s="3" t="s">
        <v>140</v>
      </c>
      <c r="P9" s="3">
        <v>14</v>
      </c>
      <c r="Q9" s="3">
        <v>15</v>
      </c>
      <c r="R9" s="3" t="s">
        <v>134</v>
      </c>
      <c r="S9" s="3">
        <v>16</v>
      </c>
      <c r="T9" s="4">
        <v>17</v>
      </c>
    </row>
    <row r="10" spans="1:22" ht="41.45" hidden="1" customHeight="1" x14ac:dyDescent="0.2">
      <c r="A10" s="125" t="s">
        <v>177</v>
      </c>
      <c r="B10" s="6">
        <v>9.0679999999999996</v>
      </c>
      <c r="C10" s="6"/>
      <c r="D10" s="6">
        <v>9.0679999999999996</v>
      </c>
      <c r="E10" s="6">
        <v>8.3230000000000004</v>
      </c>
      <c r="F10" s="6">
        <v>8.3230000000000004</v>
      </c>
      <c r="G10" s="6">
        <v>8.3230000000000004</v>
      </c>
      <c r="H10" s="6">
        <v>0</v>
      </c>
      <c r="I10" s="6"/>
      <c r="J10" s="6">
        <v>0</v>
      </c>
      <c r="K10" s="6">
        <v>5.58</v>
      </c>
      <c r="L10" s="6">
        <v>32.36</v>
      </c>
      <c r="M10" s="121">
        <v>41518</v>
      </c>
      <c r="N10" s="121"/>
      <c r="O10" s="7">
        <v>9.984</v>
      </c>
      <c r="P10" s="6">
        <v>9.984</v>
      </c>
      <c r="Q10" s="19">
        <f>K10/1.2/B10*100</f>
        <v>51.27922364358183</v>
      </c>
      <c r="R10" s="19"/>
      <c r="S10" s="19">
        <f>P10/1.2/D10*100</f>
        <v>91.751213056903396</v>
      </c>
      <c r="T10" s="126">
        <v>55</v>
      </c>
      <c r="U10" s="262"/>
      <c r="V10" s="262"/>
    </row>
    <row r="11" spans="1:22" ht="75" hidden="1" customHeight="1" x14ac:dyDescent="0.2">
      <c r="A11" s="33" t="s">
        <v>142</v>
      </c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32"/>
      <c r="N11" s="35"/>
      <c r="O11" s="7"/>
      <c r="P11" s="7"/>
      <c r="Q11" s="19" t="e">
        <f>K11/1.2/B11*100</f>
        <v>#DIV/0!</v>
      </c>
      <c r="R11" s="36" t="e">
        <f>O11/1.2/C11*100</f>
        <v>#DIV/0!</v>
      </c>
      <c r="S11" s="19" t="e">
        <f>P11/1.2/D11*100</f>
        <v>#DIV/0!</v>
      </c>
      <c r="T11" s="37"/>
    </row>
    <row r="12" spans="1:22" ht="75.75" hidden="1" customHeight="1" x14ac:dyDescent="0.2">
      <c r="A12" s="33" t="s">
        <v>147</v>
      </c>
      <c r="B12" s="6"/>
      <c r="C12" s="6"/>
      <c r="D12" s="6"/>
      <c r="E12" s="6"/>
      <c r="F12" s="6"/>
      <c r="G12" s="6"/>
      <c r="H12" s="7"/>
      <c r="I12" s="7"/>
      <c r="J12" s="7"/>
      <c r="K12" s="7"/>
      <c r="L12" s="7"/>
      <c r="M12" s="32"/>
      <c r="N12" s="35"/>
      <c r="O12" s="7"/>
      <c r="P12" s="7"/>
      <c r="Q12" s="19" t="e">
        <f>K12/B12*100</f>
        <v>#DIV/0!</v>
      </c>
      <c r="R12" s="36" t="e">
        <f>O12/C12*100</f>
        <v>#DIV/0!</v>
      </c>
      <c r="S12" s="19" t="e">
        <f>P12/D12*100</f>
        <v>#DIV/0!</v>
      </c>
      <c r="T12" s="37"/>
    </row>
    <row r="13" spans="1:22" ht="73.5" hidden="1" customHeight="1" x14ac:dyDescent="0.2">
      <c r="A13" s="33" t="s">
        <v>148</v>
      </c>
      <c r="B13" s="6"/>
      <c r="C13" s="6"/>
      <c r="D13" s="6"/>
      <c r="E13" s="6"/>
      <c r="F13" s="6"/>
      <c r="G13" s="6"/>
      <c r="H13" s="7"/>
      <c r="I13" s="7"/>
      <c r="J13" s="7"/>
      <c r="K13" s="7"/>
      <c r="L13" s="7"/>
      <c r="M13" s="32"/>
      <c r="N13" s="35"/>
      <c r="O13" s="7"/>
      <c r="P13" s="7"/>
      <c r="Q13" s="19" t="e">
        <f t="shared" ref="Q13:Q19" si="0">K13/1.2/B13*100</f>
        <v>#DIV/0!</v>
      </c>
      <c r="R13" s="36" t="e">
        <f t="shared" ref="R13:S19" si="1">O13/1.2/C13*100</f>
        <v>#DIV/0!</v>
      </c>
      <c r="S13" s="19" t="e">
        <f t="shared" si="1"/>
        <v>#DIV/0!</v>
      </c>
      <c r="T13" s="41"/>
    </row>
    <row r="14" spans="1:22" ht="59.25" hidden="1" customHeight="1" x14ac:dyDescent="0.2">
      <c r="A14" s="33" t="s">
        <v>149</v>
      </c>
      <c r="B14" s="7"/>
      <c r="C14" s="7"/>
      <c r="D14" s="7"/>
      <c r="E14" s="6"/>
      <c r="F14" s="6"/>
      <c r="G14" s="6"/>
      <c r="H14" s="7"/>
      <c r="I14" s="7"/>
      <c r="J14" s="7"/>
      <c r="K14" s="7"/>
      <c r="L14" s="7"/>
      <c r="M14" s="32"/>
      <c r="N14" s="35"/>
      <c r="O14" s="7"/>
      <c r="P14" s="7"/>
      <c r="Q14" s="19" t="e">
        <f t="shared" si="0"/>
        <v>#DIV/0!</v>
      </c>
      <c r="R14" s="36" t="e">
        <f t="shared" si="1"/>
        <v>#DIV/0!</v>
      </c>
      <c r="S14" s="19" t="e">
        <f t="shared" si="1"/>
        <v>#DIV/0!</v>
      </c>
      <c r="T14" s="37"/>
    </row>
    <row r="15" spans="1:22" ht="62.25" hidden="1" customHeight="1" x14ac:dyDescent="0.2">
      <c r="A15" s="33" t="s">
        <v>18</v>
      </c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32"/>
      <c r="N15" s="35"/>
      <c r="O15" s="7"/>
      <c r="P15" s="7"/>
      <c r="Q15" s="19" t="e">
        <f t="shared" si="0"/>
        <v>#DIV/0!</v>
      </c>
      <c r="R15" s="36" t="e">
        <f t="shared" si="1"/>
        <v>#DIV/0!</v>
      </c>
      <c r="S15" s="19" t="e">
        <f t="shared" si="1"/>
        <v>#DIV/0!</v>
      </c>
      <c r="T15" s="37"/>
    </row>
    <row r="16" spans="1:22" ht="75.75" hidden="1" customHeight="1" x14ac:dyDescent="0.2">
      <c r="A16" s="48" t="s">
        <v>19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2"/>
      <c r="N16" s="49"/>
      <c r="O16" s="44"/>
      <c r="P16" s="44"/>
      <c r="Q16" s="47" t="e">
        <f t="shared" si="0"/>
        <v>#DIV/0!</v>
      </c>
      <c r="R16" s="47" t="e">
        <f t="shared" si="1"/>
        <v>#DIV/0!</v>
      </c>
      <c r="S16" s="47" t="e">
        <f t="shared" si="1"/>
        <v>#DIV/0!</v>
      </c>
      <c r="T16" s="45"/>
    </row>
    <row r="17" spans="1:21" s="155" customFormat="1" ht="57" thickBot="1" x14ac:dyDescent="0.25">
      <c r="A17" s="181" t="s">
        <v>20</v>
      </c>
      <c r="B17" s="182">
        <v>5.72</v>
      </c>
      <c r="C17" s="182">
        <v>5.72</v>
      </c>
      <c r="D17" s="182">
        <v>5.72</v>
      </c>
      <c r="E17" s="182">
        <v>5.81</v>
      </c>
      <c r="F17" s="182">
        <v>5.81</v>
      </c>
      <c r="G17" s="182">
        <v>5.81</v>
      </c>
      <c r="H17" s="183">
        <v>0</v>
      </c>
      <c r="I17" s="183">
        <v>0</v>
      </c>
      <c r="J17" s="183">
        <v>0</v>
      </c>
      <c r="K17" s="182">
        <v>5.81</v>
      </c>
      <c r="L17" s="182">
        <f>29.28/1.2</f>
        <v>24.400000000000002</v>
      </c>
      <c r="M17" s="207">
        <v>43087</v>
      </c>
      <c r="N17" s="208" t="s">
        <v>434</v>
      </c>
      <c r="O17" s="209">
        <v>5.81</v>
      </c>
      <c r="P17" s="209">
        <v>5.81</v>
      </c>
      <c r="Q17" s="210">
        <f>K17/B17*100</f>
        <v>101.57342657342656</v>
      </c>
      <c r="R17" s="210">
        <f t="shared" ref="R17" si="2">O17/C17*100</f>
        <v>101.57342657342656</v>
      </c>
      <c r="S17" s="210">
        <f t="shared" ref="S17" si="3">P17/D17*100</f>
        <v>101.57342657342656</v>
      </c>
      <c r="T17" s="211">
        <v>101.6</v>
      </c>
    </row>
    <row r="18" spans="1:21" s="155" customFormat="1" ht="84.75" hidden="1" customHeight="1" x14ac:dyDescent="0.2">
      <c r="A18" s="56" t="s">
        <v>21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21"/>
      <c r="N18" s="146"/>
      <c r="O18" s="6"/>
      <c r="P18" s="6"/>
      <c r="Q18" s="19" t="e">
        <f t="shared" si="0"/>
        <v>#DIV/0!</v>
      </c>
      <c r="R18" s="19" t="e">
        <f t="shared" si="1"/>
        <v>#DIV/0!</v>
      </c>
      <c r="S18" s="19" t="e">
        <f t="shared" si="1"/>
        <v>#DIV/0!</v>
      </c>
      <c r="T18" s="57"/>
      <c r="U18" s="155">
        <v>82.1</v>
      </c>
    </row>
    <row r="19" spans="1:21" s="155" customFormat="1" ht="102.75" hidden="1" customHeight="1" thickBot="1" x14ac:dyDescent="0.25">
      <c r="A19" s="148" t="s">
        <v>22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2"/>
      <c r="N19" s="150"/>
      <c r="O19" s="44"/>
      <c r="P19" s="44"/>
      <c r="Q19" s="47" t="e">
        <f t="shared" si="0"/>
        <v>#DIV/0!</v>
      </c>
      <c r="R19" s="47" t="e">
        <f t="shared" si="1"/>
        <v>#DIV/0!</v>
      </c>
      <c r="S19" s="47" t="e">
        <f t="shared" si="1"/>
        <v>#DIV/0!</v>
      </c>
      <c r="T19" s="149"/>
      <c r="U19" s="155">
        <v>51.2</v>
      </c>
    </row>
    <row r="20" spans="1:21" s="155" customFormat="1" ht="48.75" customHeight="1" x14ac:dyDescent="0.2">
      <c r="A20" s="212" t="s">
        <v>195</v>
      </c>
      <c r="B20" s="187">
        <v>8.3379999999999992</v>
      </c>
      <c r="C20" s="187">
        <v>8.3379999999999992</v>
      </c>
      <c r="D20" s="187">
        <v>8.3379999999999992</v>
      </c>
      <c r="E20" s="213">
        <v>6.24</v>
      </c>
      <c r="F20" s="213">
        <v>6.24</v>
      </c>
      <c r="G20" s="213">
        <v>6.24</v>
      </c>
      <c r="H20" s="210">
        <v>0</v>
      </c>
      <c r="I20" s="210">
        <v>0</v>
      </c>
      <c r="J20" s="210">
        <v>0</v>
      </c>
      <c r="K20" s="187">
        <v>6.24</v>
      </c>
      <c r="L20" s="187">
        <v>39.97</v>
      </c>
      <c r="M20" s="207">
        <v>43125</v>
      </c>
      <c r="N20" s="191" t="s">
        <v>449</v>
      </c>
      <c r="O20" s="187">
        <v>6.24</v>
      </c>
      <c r="P20" s="187">
        <v>6.24</v>
      </c>
      <c r="Q20" s="210">
        <f>K20/B20*100</f>
        <v>74.838090669225238</v>
      </c>
      <c r="R20" s="210">
        <f t="shared" ref="R20:S22" si="4">O20/C20*100</f>
        <v>74.838090669225238</v>
      </c>
      <c r="S20" s="210">
        <f t="shared" si="4"/>
        <v>74.838090669225238</v>
      </c>
      <c r="T20" s="192">
        <v>74.8</v>
      </c>
    </row>
    <row r="21" spans="1:21" s="155" customFormat="1" ht="48.75" customHeight="1" x14ac:dyDescent="0.2">
      <c r="A21" s="118" t="s">
        <v>142</v>
      </c>
      <c r="B21" s="214">
        <v>24.02</v>
      </c>
      <c r="C21" s="214">
        <v>24.02</v>
      </c>
      <c r="D21" s="214">
        <v>24.02</v>
      </c>
      <c r="E21" s="215">
        <v>16.516999999999999</v>
      </c>
      <c r="F21" s="215">
        <v>16.516999999999999</v>
      </c>
      <c r="G21" s="215">
        <v>16.516999999999999</v>
      </c>
      <c r="H21" s="216">
        <v>0</v>
      </c>
      <c r="I21" s="216">
        <v>0</v>
      </c>
      <c r="J21" s="216">
        <v>0</v>
      </c>
      <c r="K21" s="214">
        <f>19.82/1.2</f>
        <v>16.516666666666669</v>
      </c>
      <c r="L21" s="214">
        <v>0</v>
      </c>
      <c r="M21" s="217">
        <v>42654</v>
      </c>
      <c r="N21" s="218" t="s">
        <v>199</v>
      </c>
      <c r="O21" s="214">
        <f>19.82/1.2</f>
        <v>16.516666666666669</v>
      </c>
      <c r="P21" s="214">
        <f>19.82/1.2</f>
        <v>16.516666666666669</v>
      </c>
      <c r="Q21" s="210">
        <f>K21/B21*100</f>
        <v>68.762142658895371</v>
      </c>
      <c r="R21" s="210">
        <f t="shared" si="4"/>
        <v>68.762142658895371</v>
      </c>
      <c r="S21" s="210">
        <f t="shared" si="4"/>
        <v>68.762142658895371</v>
      </c>
      <c r="T21" s="219">
        <v>68.8</v>
      </c>
    </row>
    <row r="22" spans="1:21" s="155" customFormat="1" ht="61.5" customHeight="1" thickBot="1" x14ac:dyDescent="0.25">
      <c r="A22" s="196" t="s">
        <v>149</v>
      </c>
      <c r="B22" s="220">
        <v>25.552</v>
      </c>
      <c r="C22" s="220">
        <v>25.552</v>
      </c>
      <c r="D22" s="220">
        <v>25.552</v>
      </c>
      <c r="E22" s="221">
        <v>27.164999999999999</v>
      </c>
      <c r="F22" s="221">
        <v>27.164999999999999</v>
      </c>
      <c r="G22" s="221">
        <v>27.164999999999999</v>
      </c>
      <c r="H22" s="222">
        <v>0</v>
      </c>
      <c r="I22" s="222">
        <v>0</v>
      </c>
      <c r="J22" s="222">
        <v>0</v>
      </c>
      <c r="K22" s="220">
        <f>21.23/1.2</f>
        <v>17.691666666666666</v>
      </c>
      <c r="L22" s="220">
        <v>0</v>
      </c>
      <c r="M22" s="223">
        <v>42705</v>
      </c>
      <c r="N22" s="224" t="s">
        <v>218</v>
      </c>
      <c r="O22" s="220">
        <f>21.23/1.2</f>
        <v>17.691666666666666</v>
      </c>
      <c r="P22" s="220">
        <f>21.23/1.2</f>
        <v>17.691666666666666</v>
      </c>
      <c r="Q22" s="222">
        <f>K22/B22*100</f>
        <v>69.237893967856394</v>
      </c>
      <c r="R22" s="222">
        <f t="shared" si="4"/>
        <v>69.237893967856394</v>
      </c>
      <c r="S22" s="222">
        <f t="shared" si="4"/>
        <v>69.237893967856394</v>
      </c>
      <c r="T22" s="225">
        <v>69.3</v>
      </c>
    </row>
  </sheetData>
  <mergeCells count="22">
    <mergeCell ref="U10:V10"/>
    <mergeCell ref="P6:P8"/>
    <mergeCell ref="Q6:Q8"/>
    <mergeCell ref="R6:R8"/>
    <mergeCell ref="S6:S8"/>
    <mergeCell ref="T6:T8"/>
    <mergeCell ref="S1:T1"/>
    <mergeCell ref="A2:T2"/>
    <mergeCell ref="A3:T3"/>
    <mergeCell ref="A5:A8"/>
    <mergeCell ref="B5:D7"/>
    <mergeCell ref="E5:J6"/>
    <mergeCell ref="K5:P5"/>
    <mergeCell ref="Q5:T5"/>
    <mergeCell ref="K6:N6"/>
    <mergeCell ref="O6:O8"/>
    <mergeCell ref="E7:G7"/>
    <mergeCell ref="H7:J7"/>
    <mergeCell ref="K7:K8"/>
    <mergeCell ref="L7:L8"/>
    <mergeCell ref="M7:M8"/>
    <mergeCell ref="N7:N8"/>
  </mergeCells>
  <printOptions horizontalCentered="1"/>
  <pageMargins left="0.19652777777777777" right="0.19652777777777777" top="0.59027777777777779" bottom="0.39374999999999999" header="0.51180555555555551" footer="0.51180555555555551"/>
  <pageSetup paperSize="9" scale="46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37"/>
  <sheetViews>
    <sheetView view="pageBreakPreview" zoomScale="55" zoomScaleNormal="75" zoomScaleSheetLayoutView="55" workbookViewId="0">
      <selection activeCell="R4" sqref="R1:R1048576"/>
    </sheetView>
  </sheetViews>
  <sheetFormatPr defaultColWidth="14.140625" defaultRowHeight="12.75" x14ac:dyDescent="0.2"/>
  <cols>
    <col min="1" max="1" width="39.85546875" style="1" customWidth="1"/>
    <col min="2" max="2" width="13.5703125" style="1" customWidth="1"/>
    <col min="3" max="3" width="13.5703125" style="1" hidden="1" customWidth="1"/>
    <col min="4" max="4" width="14.140625" style="1" customWidth="1"/>
    <col min="5" max="5" width="12.28515625" style="1" customWidth="1"/>
    <col min="6" max="6" width="12.28515625" style="1" hidden="1" customWidth="1"/>
    <col min="7" max="7" width="11.5703125" style="1" customWidth="1"/>
    <col min="8" max="8" width="12" style="1" customWidth="1"/>
    <col min="9" max="9" width="12" style="1" hidden="1" customWidth="1"/>
    <col min="10" max="10" width="9.5703125" style="1" customWidth="1"/>
    <col min="11" max="11" width="12.85546875" style="1" customWidth="1"/>
    <col min="12" max="12" width="11.28515625" style="1" customWidth="1"/>
    <col min="13" max="13" width="17.140625" style="1" customWidth="1"/>
    <col min="14" max="14" width="24.85546875" style="1" customWidth="1"/>
    <col min="15" max="15" width="14.42578125" style="1" hidden="1" customWidth="1"/>
    <col min="16" max="16" width="12.140625" style="1" customWidth="1"/>
    <col min="17" max="17" width="10.85546875" style="1" customWidth="1"/>
    <col min="18" max="18" width="10.85546875" style="1" hidden="1" customWidth="1"/>
    <col min="19" max="19" width="15" style="1" customWidth="1"/>
    <col min="20" max="20" width="13.28515625" style="1" customWidth="1"/>
    <col min="21" max="21" width="15.28515625" style="1" customWidth="1"/>
    <col min="22" max="260" width="9.140625" style="1" customWidth="1"/>
    <col min="261" max="261" width="6.85546875" style="1" customWidth="1"/>
    <col min="262" max="16384" width="14.140625" style="1"/>
  </cols>
  <sheetData>
    <row r="1" spans="1:24" ht="19.149999999999999" customHeight="1" x14ac:dyDescent="0.2">
      <c r="S1" s="238"/>
      <c r="T1" s="238"/>
    </row>
    <row r="2" spans="1:24" s="129" customFormat="1" ht="46.5" customHeight="1" x14ac:dyDescent="0.2">
      <c r="A2" s="239" t="s">
        <v>124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128"/>
      <c r="V2" s="128"/>
      <c r="W2" s="128"/>
      <c r="X2" s="128"/>
    </row>
    <row r="3" spans="1:24" s="129" customFormat="1" ht="33.75" customHeight="1" thickBot="1" x14ac:dyDescent="0.25">
      <c r="A3" s="239" t="str">
        <f>вода!A2</f>
        <v>станом на 01.03.2018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128"/>
      <c r="V3" s="128"/>
      <c r="W3" s="128"/>
      <c r="X3" s="128"/>
    </row>
    <row r="4" spans="1:24" ht="25.5" hidden="1" customHeight="1" x14ac:dyDescent="0.2">
      <c r="A4" s="30"/>
      <c r="B4" s="30"/>
      <c r="C4" s="30"/>
    </row>
    <row r="5" spans="1:24" ht="27.2" customHeight="1" thickBot="1" x14ac:dyDescent="0.25">
      <c r="A5" s="267" t="s">
        <v>0</v>
      </c>
      <c r="B5" s="260" t="s">
        <v>1</v>
      </c>
      <c r="C5" s="260"/>
      <c r="D5" s="260"/>
      <c r="E5" s="260" t="s">
        <v>2</v>
      </c>
      <c r="F5" s="260"/>
      <c r="G5" s="260"/>
      <c r="H5" s="260"/>
      <c r="I5" s="260"/>
      <c r="J5" s="260"/>
      <c r="K5" s="260" t="s">
        <v>3</v>
      </c>
      <c r="L5" s="260"/>
      <c r="M5" s="260"/>
      <c r="N5" s="260"/>
      <c r="O5" s="260"/>
      <c r="P5" s="260"/>
      <c r="Q5" s="254" t="s">
        <v>4</v>
      </c>
      <c r="R5" s="254"/>
      <c r="S5" s="254"/>
      <c r="T5" s="254"/>
    </row>
    <row r="6" spans="1:24" ht="15" customHeight="1" thickBot="1" x14ac:dyDescent="0.25">
      <c r="A6" s="267"/>
      <c r="B6" s="260"/>
      <c r="C6" s="260"/>
      <c r="D6" s="260"/>
      <c r="E6" s="260"/>
      <c r="F6" s="260"/>
      <c r="G6" s="260"/>
      <c r="H6" s="260"/>
      <c r="I6" s="260"/>
      <c r="J6" s="260"/>
      <c r="K6" s="268" t="s">
        <v>5</v>
      </c>
      <c r="L6" s="269"/>
      <c r="M6" s="269"/>
      <c r="N6" s="270"/>
      <c r="O6" s="261" t="s">
        <v>137</v>
      </c>
      <c r="P6" s="261" t="s">
        <v>23</v>
      </c>
      <c r="Q6" s="261" t="s">
        <v>7</v>
      </c>
      <c r="R6" s="261" t="s">
        <v>139</v>
      </c>
      <c r="S6" s="261" t="s">
        <v>8</v>
      </c>
      <c r="T6" s="263" t="s">
        <v>9</v>
      </c>
    </row>
    <row r="7" spans="1:24" ht="30" customHeight="1" x14ac:dyDescent="0.2">
      <c r="A7" s="267"/>
      <c r="B7" s="260"/>
      <c r="C7" s="260"/>
      <c r="D7" s="260"/>
      <c r="E7" s="255" t="s">
        <v>10</v>
      </c>
      <c r="F7" s="255"/>
      <c r="G7" s="255"/>
      <c r="H7" s="255" t="s">
        <v>11</v>
      </c>
      <c r="I7" s="255"/>
      <c r="J7" s="255"/>
      <c r="K7" s="253" t="s">
        <v>24</v>
      </c>
      <c r="L7" s="253" t="s">
        <v>13</v>
      </c>
      <c r="M7" s="261" t="s">
        <v>15</v>
      </c>
      <c r="N7" s="232" t="s">
        <v>129</v>
      </c>
      <c r="O7" s="261"/>
      <c r="P7" s="261"/>
      <c r="Q7" s="261"/>
      <c r="R7" s="261"/>
      <c r="S7" s="261"/>
      <c r="T7" s="263"/>
    </row>
    <row r="8" spans="1:24" ht="119.25" customHeight="1" x14ac:dyDescent="0.2">
      <c r="A8" s="267"/>
      <c r="B8" s="119" t="s">
        <v>16</v>
      </c>
      <c r="C8" s="119" t="s">
        <v>127</v>
      </c>
      <c r="D8" s="119" t="s">
        <v>17</v>
      </c>
      <c r="E8" s="119" t="s">
        <v>16</v>
      </c>
      <c r="F8" s="119" t="s">
        <v>128</v>
      </c>
      <c r="G8" s="119" t="s">
        <v>17</v>
      </c>
      <c r="H8" s="119" t="s">
        <v>16</v>
      </c>
      <c r="I8" s="119" t="s">
        <v>127</v>
      </c>
      <c r="J8" s="119" t="s">
        <v>17</v>
      </c>
      <c r="K8" s="253"/>
      <c r="L8" s="253"/>
      <c r="M8" s="253"/>
      <c r="N8" s="233"/>
      <c r="O8" s="253"/>
      <c r="P8" s="253"/>
      <c r="Q8" s="253"/>
      <c r="R8" s="253"/>
      <c r="S8" s="253"/>
      <c r="T8" s="263"/>
    </row>
    <row r="9" spans="1:24" ht="14.25" customHeight="1" thickBot="1" x14ac:dyDescent="0.25">
      <c r="A9" s="8">
        <v>1</v>
      </c>
      <c r="B9" s="9">
        <v>2</v>
      </c>
      <c r="C9" s="9" t="s">
        <v>130</v>
      </c>
      <c r="D9" s="9">
        <v>3</v>
      </c>
      <c r="E9" s="9">
        <v>4</v>
      </c>
      <c r="F9" s="9" t="s">
        <v>131</v>
      </c>
      <c r="G9" s="9">
        <v>5</v>
      </c>
      <c r="H9" s="9">
        <v>6</v>
      </c>
      <c r="I9" s="9" t="s">
        <v>132</v>
      </c>
      <c r="J9" s="9">
        <v>7</v>
      </c>
      <c r="K9" s="9">
        <v>8</v>
      </c>
      <c r="L9" s="9">
        <v>9</v>
      </c>
      <c r="M9" s="9">
        <v>10</v>
      </c>
      <c r="N9" s="9">
        <v>11</v>
      </c>
      <c r="O9" s="9" t="s">
        <v>138</v>
      </c>
      <c r="P9" s="9">
        <v>12</v>
      </c>
      <c r="Q9" s="9">
        <v>13</v>
      </c>
      <c r="R9" s="9" t="s">
        <v>140</v>
      </c>
      <c r="S9" s="9">
        <v>14</v>
      </c>
      <c r="T9" s="10">
        <v>15</v>
      </c>
    </row>
    <row r="10" spans="1:24" ht="37.700000000000003" hidden="1" customHeight="1" x14ac:dyDescent="0.2">
      <c r="A10" s="50" t="s">
        <v>105</v>
      </c>
      <c r="B10" s="51">
        <v>4.2699999999999996</v>
      </c>
      <c r="C10" s="51"/>
      <c r="D10" s="51">
        <v>4.2699999999999996</v>
      </c>
      <c r="E10" s="51">
        <v>5.2030000000000003</v>
      </c>
      <c r="F10" s="51">
        <v>5.2030000000000003</v>
      </c>
      <c r="G10" s="51">
        <v>5.2030000000000003</v>
      </c>
      <c r="H10" s="51">
        <v>0</v>
      </c>
      <c r="I10" s="51"/>
      <c r="J10" s="51">
        <v>0</v>
      </c>
      <c r="K10" s="51">
        <v>3.3839999999999999</v>
      </c>
      <c r="L10" s="51">
        <v>19.626999999999999</v>
      </c>
      <c r="M10" s="52">
        <v>41518</v>
      </c>
      <c r="N10" s="52"/>
      <c r="O10" s="44"/>
      <c r="P10" s="51">
        <v>8.6639999999999997</v>
      </c>
      <c r="Q10" s="53">
        <f t="shared" ref="Q10" si="0">K10/1.2/B10*100</f>
        <v>66.042154566744742</v>
      </c>
      <c r="R10" s="53"/>
      <c r="S10" s="53">
        <f t="shared" ref="S10" si="1">P10/1.2/D10*100</f>
        <v>169.08665105386419</v>
      </c>
      <c r="T10" s="54">
        <v>90.9</v>
      </c>
      <c r="U10" s="262"/>
      <c r="V10" s="262"/>
    </row>
    <row r="11" spans="1:24" s="155" customFormat="1" ht="57.75" customHeight="1" x14ac:dyDescent="0.2">
      <c r="A11" s="181" t="s">
        <v>20</v>
      </c>
      <c r="B11" s="182">
        <v>5.37</v>
      </c>
      <c r="C11" s="182">
        <v>5.37</v>
      </c>
      <c r="D11" s="182">
        <v>5.37</v>
      </c>
      <c r="E11" s="182">
        <v>5.78</v>
      </c>
      <c r="F11" s="182">
        <v>5.78</v>
      </c>
      <c r="G11" s="182">
        <v>5.78</v>
      </c>
      <c r="H11" s="182">
        <v>0</v>
      </c>
      <c r="I11" s="182">
        <v>0</v>
      </c>
      <c r="J11" s="182">
        <v>0</v>
      </c>
      <c r="K11" s="182">
        <f>6.936/1.2</f>
        <v>5.78</v>
      </c>
      <c r="L11" s="182">
        <f>63.816/1.2</f>
        <v>53.180000000000007</v>
      </c>
      <c r="M11" s="185">
        <v>43111</v>
      </c>
      <c r="N11" s="186" t="s">
        <v>450</v>
      </c>
      <c r="O11" s="182">
        <f>6.936/1.2</f>
        <v>5.78</v>
      </c>
      <c r="P11" s="182">
        <f>6.936/1.2</f>
        <v>5.78</v>
      </c>
      <c r="Q11" s="36">
        <f t="shared" ref="Q11" si="2">K11/B11*100</f>
        <v>107.63500931098697</v>
      </c>
      <c r="R11" s="36">
        <f t="shared" ref="R11" si="3">O11/C11*100</f>
        <v>107.63500931098697</v>
      </c>
      <c r="S11" s="36">
        <f t="shared" ref="S11" si="4">P11/D11*100</f>
        <v>107.63500931098697</v>
      </c>
      <c r="T11" s="211">
        <v>107.6</v>
      </c>
    </row>
    <row r="12" spans="1:24" s="155" customFormat="1" ht="57.75" customHeight="1" x14ac:dyDescent="0.2">
      <c r="A12" s="56" t="s">
        <v>202</v>
      </c>
      <c r="B12" s="7">
        <v>13.67</v>
      </c>
      <c r="C12" s="7">
        <v>13.67</v>
      </c>
      <c r="D12" s="7">
        <v>13.67</v>
      </c>
      <c r="E12" s="7">
        <v>11.21</v>
      </c>
      <c r="F12" s="7">
        <v>11.21</v>
      </c>
      <c r="G12" s="7">
        <v>11.21</v>
      </c>
      <c r="H12" s="7">
        <v>0</v>
      </c>
      <c r="I12" s="7">
        <v>0</v>
      </c>
      <c r="J12" s="7">
        <v>0</v>
      </c>
      <c r="K12" s="7">
        <f>13.452/1.2</f>
        <v>11.21</v>
      </c>
      <c r="L12" s="7">
        <v>92.06</v>
      </c>
      <c r="M12" s="32">
        <v>42125</v>
      </c>
      <c r="N12" s="39" t="s">
        <v>146</v>
      </c>
      <c r="O12" s="7">
        <f>13.452/1.2</f>
        <v>11.21</v>
      </c>
      <c r="P12" s="7">
        <f>13.452/1.2</f>
        <v>11.21</v>
      </c>
      <c r="Q12" s="36">
        <f t="shared" ref="Q12:Q17" si="5">K12/B12*100</f>
        <v>82.004389173372346</v>
      </c>
      <c r="R12" s="36">
        <f t="shared" ref="R12:R19" si="6">O12/C12*100</f>
        <v>82.004389173372346</v>
      </c>
      <c r="S12" s="36">
        <f t="shared" ref="S12:S19" si="7">P12/D12*100</f>
        <v>82.004389173372346</v>
      </c>
      <c r="T12" s="57">
        <v>82</v>
      </c>
    </row>
    <row r="13" spans="1:24" s="155" customFormat="1" ht="57.75" customHeight="1" x14ac:dyDescent="0.2">
      <c r="A13" s="56" t="s">
        <v>195</v>
      </c>
      <c r="B13" s="7">
        <v>8.1669999999999998</v>
      </c>
      <c r="C13" s="7">
        <v>8.1669999999999998</v>
      </c>
      <c r="D13" s="7">
        <v>8.1669999999999998</v>
      </c>
      <c r="E13" s="7">
        <v>6.08</v>
      </c>
      <c r="F13" s="7">
        <v>6.08</v>
      </c>
      <c r="G13" s="7">
        <v>6.08</v>
      </c>
      <c r="H13" s="7">
        <v>0</v>
      </c>
      <c r="I13" s="7">
        <v>0</v>
      </c>
      <c r="J13" s="7">
        <v>0</v>
      </c>
      <c r="K13" s="7">
        <v>6.08</v>
      </c>
      <c r="L13" s="7">
        <v>33.68</v>
      </c>
      <c r="M13" s="32">
        <v>43125</v>
      </c>
      <c r="N13" s="35" t="s">
        <v>451</v>
      </c>
      <c r="O13" s="7">
        <v>6.08</v>
      </c>
      <c r="P13" s="7">
        <v>6.08</v>
      </c>
      <c r="Q13" s="36">
        <f t="shared" si="5"/>
        <v>74.445940982000735</v>
      </c>
      <c r="R13" s="36">
        <f t="shared" si="6"/>
        <v>74.445940982000735</v>
      </c>
      <c r="S13" s="36">
        <f t="shared" si="7"/>
        <v>74.445940982000735</v>
      </c>
      <c r="T13" s="57">
        <v>74.400000000000006</v>
      </c>
    </row>
    <row r="14" spans="1:24" s="155" customFormat="1" ht="72" customHeight="1" x14ac:dyDescent="0.2">
      <c r="A14" s="118" t="s">
        <v>201</v>
      </c>
      <c r="B14" s="187">
        <v>11.54</v>
      </c>
      <c r="C14" s="187">
        <v>11.54</v>
      </c>
      <c r="D14" s="187">
        <v>11.54</v>
      </c>
      <c r="E14" s="187">
        <v>7.0065999999999997</v>
      </c>
      <c r="F14" s="187">
        <v>9.9832999999999998</v>
      </c>
      <c r="G14" s="187">
        <v>9.9832999999999998</v>
      </c>
      <c r="H14" s="187">
        <v>0</v>
      </c>
      <c r="I14" s="187">
        <v>0</v>
      </c>
      <c r="J14" s="187">
        <v>0</v>
      </c>
      <c r="K14" s="187">
        <v>7.0065999999999997</v>
      </c>
      <c r="L14" s="187">
        <v>40.4</v>
      </c>
      <c r="M14" s="190">
        <v>43040</v>
      </c>
      <c r="N14" s="191" t="s">
        <v>420</v>
      </c>
      <c r="O14" s="187">
        <f>11.9799/1.2</f>
        <v>9.9832500000000017</v>
      </c>
      <c r="P14" s="187">
        <f>11.9799/1.2</f>
        <v>9.9832500000000017</v>
      </c>
      <c r="Q14" s="36">
        <f t="shared" si="5"/>
        <v>60.715771230502604</v>
      </c>
      <c r="R14" s="36">
        <f t="shared" si="6"/>
        <v>86.509965337954966</v>
      </c>
      <c r="S14" s="36">
        <f t="shared" si="7"/>
        <v>86.509965337954966</v>
      </c>
      <c r="T14" s="192">
        <v>73.599999999999994</v>
      </c>
    </row>
    <row r="15" spans="1:24" s="155" customFormat="1" ht="57.75" customHeight="1" x14ac:dyDescent="0.2">
      <c r="A15" s="118" t="s">
        <v>21</v>
      </c>
      <c r="B15" s="6">
        <v>16.248000000000001</v>
      </c>
      <c r="C15" s="6">
        <v>16.248000000000001</v>
      </c>
      <c r="D15" s="6">
        <v>16.248000000000001</v>
      </c>
      <c r="E15" s="6">
        <v>11.021000000000001</v>
      </c>
      <c r="F15" s="6">
        <v>11.021000000000001</v>
      </c>
      <c r="G15" s="6">
        <v>11.021000000000001</v>
      </c>
      <c r="H15" s="6">
        <v>1.921</v>
      </c>
      <c r="I15" s="6">
        <v>1.921</v>
      </c>
      <c r="J15" s="6">
        <v>1.921</v>
      </c>
      <c r="K15" s="142">
        <f>15.53/1.2</f>
        <v>12.941666666666666</v>
      </c>
      <c r="L15" s="6">
        <f>118.09/1.2</f>
        <v>98.408333333333346</v>
      </c>
      <c r="M15" s="121">
        <v>42952</v>
      </c>
      <c r="N15" s="226" t="s">
        <v>411</v>
      </c>
      <c r="O15" s="142">
        <f>15.53/1.2</f>
        <v>12.941666666666666</v>
      </c>
      <c r="P15" s="142">
        <f>15.53/1.2</f>
        <v>12.941666666666666</v>
      </c>
      <c r="Q15" s="36">
        <f t="shared" si="5"/>
        <v>79.650828819957326</v>
      </c>
      <c r="R15" s="36">
        <f t="shared" si="6"/>
        <v>79.650828819957326</v>
      </c>
      <c r="S15" s="36">
        <f t="shared" si="7"/>
        <v>79.650828819957326</v>
      </c>
      <c r="T15" s="124">
        <v>79.7</v>
      </c>
    </row>
    <row r="16" spans="1:24" s="155" customFormat="1" ht="74.25" customHeight="1" x14ac:dyDescent="0.2">
      <c r="A16" s="56" t="s">
        <v>147</v>
      </c>
      <c r="B16" s="7">
        <v>19.2</v>
      </c>
      <c r="C16" s="7">
        <v>18.399999999999999</v>
      </c>
      <c r="D16" s="7">
        <v>17.8</v>
      </c>
      <c r="E16" s="7">
        <v>15</v>
      </c>
      <c r="F16" s="7">
        <v>15</v>
      </c>
      <c r="G16" s="7">
        <v>15</v>
      </c>
      <c r="H16" s="7">
        <v>0</v>
      </c>
      <c r="I16" s="7">
        <v>0</v>
      </c>
      <c r="J16" s="7">
        <v>0</v>
      </c>
      <c r="K16" s="7">
        <f>18/1.2</f>
        <v>15</v>
      </c>
      <c r="L16" s="7">
        <f>60.48/1.2</f>
        <v>50.4</v>
      </c>
      <c r="M16" s="32">
        <v>42826</v>
      </c>
      <c r="N16" s="35" t="s">
        <v>224</v>
      </c>
      <c r="O16" s="7">
        <f>18/1.2</f>
        <v>15</v>
      </c>
      <c r="P16" s="7">
        <f>18/1.2</f>
        <v>15</v>
      </c>
      <c r="Q16" s="36">
        <f t="shared" si="5"/>
        <v>78.125</v>
      </c>
      <c r="R16" s="36">
        <f t="shared" si="6"/>
        <v>81.521739130434796</v>
      </c>
      <c r="S16" s="36">
        <f t="shared" si="7"/>
        <v>84.269662921348313</v>
      </c>
      <c r="T16" s="57">
        <v>81.3</v>
      </c>
    </row>
    <row r="17" spans="1:20" s="155" customFormat="1" ht="73.5" customHeight="1" x14ac:dyDescent="0.2">
      <c r="A17" s="56" t="s">
        <v>142</v>
      </c>
      <c r="B17" s="7">
        <v>22.82</v>
      </c>
      <c r="C17" s="7">
        <v>22.82</v>
      </c>
      <c r="D17" s="7">
        <v>22.82</v>
      </c>
      <c r="E17" s="7">
        <v>15.69</v>
      </c>
      <c r="F17" s="7">
        <v>15.69</v>
      </c>
      <c r="G17" s="7">
        <v>15.69</v>
      </c>
      <c r="H17" s="7">
        <v>0</v>
      </c>
      <c r="I17" s="7">
        <v>0</v>
      </c>
      <c r="J17" s="7">
        <v>0</v>
      </c>
      <c r="K17" s="7">
        <f>18.828/1.2</f>
        <v>15.69</v>
      </c>
      <c r="L17" s="7">
        <v>0</v>
      </c>
      <c r="M17" s="32">
        <v>42584</v>
      </c>
      <c r="N17" s="35" t="s">
        <v>216</v>
      </c>
      <c r="O17" s="7">
        <f>18.828/1.2</f>
        <v>15.69</v>
      </c>
      <c r="P17" s="7">
        <f>18.828/1.2</f>
        <v>15.69</v>
      </c>
      <c r="Q17" s="36">
        <f t="shared" si="5"/>
        <v>68.75547765118317</v>
      </c>
      <c r="R17" s="36">
        <f t="shared" si="6"/>
        <v>68.75547765118317</v>
      </c>
      <c r="S17" s="36">
        <f t="shared" si="7"/>
        <v>68.75547765118317</v>
      </c>
      <c r="T17" s="57">
        <v>68.8</v>
      </c>
    </row>
    <row r="18" spans="1:20" s="155" customFormat="1" ht="81" customHeight="1" x14ac:dyDescent="0.2">
      <c r="A18" s="193" t="s">
        <v>148</v>
      </c>
      <c r="B18" s="7">
        <v>16.52</v>
      </c>
      <c r="C18" s="7">
        <v>16.52</v>
      </c>
      <c r="D18" s="7">
        <v>16.52</v>
      </c>
      <c r="E18" s="6">
        <v>11.65</v>
      </c>
      <c r="F18" s="6">
        <v>20.376799999999999</v>
      </c>
      <c r="G18" s="6">
        <v>20.376799999999999</v>
      </c>
      <c r="H18" s="7">
        <v>0</v>
      </c>
      <c r="I18" s="7">
        <v>0</v>
      </c>
      <c r="J18" s="7">
        <v>0</v>
      </c>
      <c r="K18" s="7">
        <f>13.9831/1.2</f>
        <v>11.652583333333334</v>
      </c>
      <c r="L18" s="7">
        <v>0</v>
      </c>
      <c r="M18" s="32">
        <v>43070</v>
      </c>
      <c r="N18" s="35" t="s">
        <v>436</v>
      </c>
      <c r="O18" s="7">
        <v>20.376799999999999</v>
      </c>
      <c r="P18" s="7">
        <v>20.376799999999999</v>
      </c>
      <c r="Q18" s="210">
        <f t="shared" ref="Q18" si="8">K18/B18*100</f>
        <v>70.536218724778053</v>
      </c>
      <c r="R18" s="210">
        <f t="shared" ref="R18" si="9">O18/C18*100</f>
        <v>123.34624697336562</v>
      </c>
      <c r="S18" s="210">
        <f t="shared" ref="S18" si="10">P18/D18*100</f>
        <v>123.34624697336562</v>
      </c>
      <c r="T18" s="57">
        <v>105.7</v>
      </c>
    </row>
    <row r="19" spans="1:20" s="155" customFormat="1" ht="73.5" customHeight="1" thickBot="1" x14ac:dyDescent="0.25">
      <c r="A19" s="196" t="s">
        <v>149</v>
      </c>
      <c r="B19" s="198">
        <v>23.975999999999999</v>
      </c>
      <c r="C19" s="198">
        <v>23.975999999999999</v>
      </c>
      <c r="D19" s="198">
        <v>23.975999999999999</v>
      </c>
      <c r="E19" s="220">
        <v>26.478999999999999</v>
      </c>
      <c r="F19" s="220">
        <v>26.478999999999999</v>
      </c>
      <c r="G19" s="220">
        <v>26.478999999999999</v>
      </c>
      <c r="H19" s="198">
        <v>0</v>
      </c>
      <c r="I19" s="198">
        <v>0</v>
      </c>
      <c r="J19" s="198">
        <v>0</v>
      </c>
      <c r="K19" s="198">
        <f>19.5/1.2</f>
        <v>16.25</v>
      </c>
      <c r="L19" s="198">
        <v>0</v>
      </c>
      <c r="M19" s="174">
        <v>42600</v>
      </c>
      <c r="N19" s="174" t="s">
        <v>193</v>
      </c>
      <c r="O19" s="198">
        <f>19.5/1.2</f>
        <v>16.25</v>
      </c>
      <c r="P19" s="198">
        <f>19.5/1.2</f>
        <v>16.25</v>
      </c>
      <c r="Q19" s="222">
        <f>K19/B19*100</f>
        <v>67.776109442776118</v>
      </c>
      <c r="R19" s="222">
        <f t="shared" si="6"/>
        <v>67.776109442776118</v>
      </c>
      <c r="S19" s="222">
        <f t="shared" si="7"/>
        <v>67.776109442776118</v>
      </c>
      <c r="T19" s="206">
        <v>67.8</v>
      </c>
    </row>
    <row r="20" spans="1:20" s="127" customFormat="1" x14ac:dyDescent="0.2">
      <c r="A20" s="265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</row>
    <row r="21" spans="1:20" x14ac:dyDescent="0.2">
      <c r="A21" s="266"/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</row>
    <row r="22" spans="1:20" x14ac:dyDescent="0.2">
      <c r="A22" s="266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</row>
    <row r="25" spans="1:20" ht="36.75" customHeight="1" x14ac:dyDescent="0.2">
      <c r="Q25" s="22"/>
      <c r="R25" s="22"/>
      <c r="S25" s="22"/>
      <c r="T25" s="22"/>
    </row>
    <row r="26" spans="1:20" ht="18" x14ac:dyDescent="0.2">
      <c r="B26" s="11"/>
      <c r="C26" s="11"/>
      <c r="D26" s="11"/>
    </row>
    <row r="37" spans="16:16" x14ac:dyDescent="0.2">
      <c r="P37" s="1" t="s">
        <v>25</v>
      </c>
    </row>
  </sheetData>
  <mergeCells count="23">
    <mergeCell ref="U10:V10"/>
    <mergeCell ref="S6:S8"/>
    <mergeCell ref="T6:T8"/>
    <mergeCell ref="K7:K8"/>
    <mergeCell ref="L7:L8"/>
    <mergeCell ref="Q6:Q8"/>
    <mergeCell ref="R6:R8"/>
    <mergeCell ref="A20:T22"/>
    <mergeCell ref="Q5:T5"/>
    <mergeCell ref="P6:P8"/>
    <mergeCell ref="A3:T3"/>
    <mergeCell ref="S1:T1"/>
    <mergeCell ref="A2:T2"/>
    <mergeCell ref="A5:A8"/>
    <mergeCell ref="B5:D7"/>
    <mergeCell ref="E5:J6"/>
    <mergeCell ref="K5:P5"/>
    <mergeCell ref="M7:M8"/>
    <mergeCell ref="E7:G7"/>
    <mergeCell ref="H7:J7"/>
    <mergeCell ref="K6:N6"/>
    <mergeCell ref="N7:N8"/>
    <mergeCell ref="O6:O8"/>
  </mergeCells>
  <phoneticPr fontId="12" type="noConversion"/>
  <printOptions horizontalCentered="1"/>
  <pageMargins left="0.19652777777777777" right="0.19652777777777777" top="0.59027777777777779" bottom="0.39374999999999999" header="0.51180555555555551" footer="0.51180555555555551"/>
  <pageSetup paperSize="9" scale="4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M83"/>
  <sheetViews>
    <sheetView tabSelected="1" view="pageBreakPreview" zoomScale="55" zoomScaleNormal="60" zoomScaleSheetLayoutView="55" workbookViewId="0">
      <pane xSplit="1" ySplit="23" topLeftCell="B24" activePane="bottomRight" state="frozen"/>
      <selection pane="topRight" activeCell="B1" sqref="B1"/>
      <selection pane="bottomLeft" activeCell="A24" sqref="A24"/>
      <selection pane="bottomRight" activeCell="G24" sqref="G24"/>
    </sheetView>
  </sheetViews>
  <sheetFormatPr defaultColWidth="9.140625" defaultRowHeight="18.75" x14ac:dyDescent="0.2"/>
  <cols>
    <col min="1" max="1" width="29.7109375" style="343" customWidth="1"/>
    <col min="2" max="2" width="14" style="12" customWidth="1"/>
    <col min="3" max="3" width="14.85546875" style="12" customWidth="1"/>
    <col min="4" max="4" width="18" style="12" customWidth="1"/>
    <col min="5" max="5" width="17" style="12" customWidth="1"/>
    <col min="6" max="6" width="17" style="294" customWidth="1"/>
    <col min="7" max="7" width="10.85546875" style="12" customWidth="1"/>
    <col min="8" max="8" width="18.85546875" style="294" customWidth="1"/>
    <col min="9" max="9" width="19.28515625" style="294" customWidth="1"/>
    <col min="10" max="10" width="17.42578125" style="12" customWidth="1"/>
    <col min="11" max="11" width="16.42578125" style="12" customWidth="1"/>
    <col min="12" max="12" width="22" style="404" customWidth="1"/>
    <col min="13" max="13" width="27.42578125" style="404" customWidth="1"/>
    <col min="14" max="14" width="14.85546875" style="12" customWidth="1"/>
    <col min="15" max="15" width="13.7109375" style="12" customWidth="1"/>
    <col min="16" max="16" width="19.140625" style="12" customWidth="1"/>
    <col min="17" max="17" width="41.28515625" style="12" customWidth="1"/>
    <col min="18" max="16384" width="9.140625" style="12"/>
  </cols>
  <sheetData>
    <row r="1" spans="1:18" s="319" customFormat="1" ht="15.6" customHeight="1" x14ac:dyDescent="0.2">
      <c r="A1" s="331"/>
      <c r="F1" s="332"/>
      <c r="H1" s="332"/>
      <c r="I1" s="332"/>
      <c r="L1" s="333"/>
      <c r="M1" s="333"/>
      <c r="P1" s="334"/>
      <c r="Q1" s="335"/>
    </row>
    <row r="2" spans="1:18" s="129" customFormat="1" ht="48" customHeight="1" x14ac:dyDescent="0.2">
      <c r="A2" s="239" t="s">
        <v>126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128"/>
      <c r="R2" s="128"/>
    </row>
    <row r="3" spans="1:18" s="129" customFormat="1" ht="35.25" customHeight="1" x14ac:dyDescent="0.2">
      <c r="A3" s="239" t="str">
        <f>стоки!A3</f>
        <v>станом на 01.03.2018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128"/>
      <c r="R3" s="128"/>
    </row>
    <row r="4" spans="1:18" s="343" customFormat="1" ht="111" customHeight="1" x14ac:dyDescent="0.2">
      <c r="A4" s="336" t="s">
        <v>0</v>
      </c>
      <c r="B4" s="337" t="s">
        <v>47</v>
      </c>
      <c r="C4" s="338" t="s">
        <v>48</v>
      </c>
      <c r="D4" s="338"/>
      <c r="E4" s="338"/>
      <c r="F4" s="338"/>
      <c r="G4" s="338"/>
      <c r="H4" s="339" t="s">
        <v>421</v>
      </c>
      <c r="I4" s="340"/>
      <c r="J4" s="340"/>
      <c r="K4" s="340"/>
      <c r="L4" s="340"/>
      <c r="M4" s="341"/>
      <c r="N4" s="337" t="s">
        <v>49</v>
      </c>
      <c r="O4" s="342" t="s">
        <v>50</v>
      </c>
      <c r="P4" s="342"/>
    </row>
    <row r="5" spans="1:18" s="343" customFormat="1" ht="160.5" customHeight="1" x14ac:dyDescent="0.2">
      <c r="A5" s="336"/>
      <c r="B5" s="337"/>
      <c r="C5" s="344" t="s">
        <v>51</v>
      </c>
      <c r="D5" s="344" t="s">
        <v>52</v>
      </c>
      <c r="E5" s="344" t="s">
        <v>53</v>
      </c>
      <c r="F5" s="345" t="s">
        <v>54</v>
      </c>
      <c r="G5" s="344" t="s">
        <v>55</v>
      </c>
      <c r="H5" s="345" t="s">
        <v>51</v>
      </c>
      <c r="I5" s="345" t="s">
        <v>56</v>
      </c>
      <c r="J5" s="344" t="s">
        <v>53</v>
      </c>
      <c r="K5" s="344" t="s">
        <v>54</v>
      </c>
      <c r="L5" s="346" t="s">
        <v>57</v>
      </c>
      <c r="M5" s="346" t="s">
        <v>129</v>
      </c>
      <c r="N5" s="337"/>
      <c r="O5" s="344" t="s">
        <v>58</v>
      </c>
      <c r="P5" s="344" t="s">
        <v>59</v>
      </c>
    </row>
    <row r="6" spans="1:18" s="16" customFormat="1" ht="14.25" customHeight="1" x14ac:dyDescent="0.2">
      <c r="A6" s="347">
        <v>1</v>
      </c>
      <c r="B6" s="348">
        <v>2</v>
      </c>
      <c r="C6" s="348">
        <v>3</v>
      </c>
      <c r="D6" s="348">
        <v>4</v>
      </c>
      <c r="E6" s="348">
        <v>5</v>
      </c>
      <c r="F6" s="349">
        <v>6</v>
      </c>
      <c r="G6" s="349">
        <v>7</v>
      </c>
      <c r="H6" s="349">
        <v>8</v>
      </c>
      <c r="I6" s="349">
        <v>9</v>
      </c>
      <c r="J6" s="348">
        <v>10</v>
      </c>
      <c r="K6" s="348">
        <v>11</v>
      </c>
      <c r="L6" s="348">
        <v>12</v>
      </c>
      <c r="M6" s="348">
        <v>13</v>
      </c>
      <c r="N6" s="348">
        <v>14</v>
      </c>
      <c r="O6" s="348">
        <v>15</v>
      </c>
      <c r="P6" s="348">
        <v>16</v>
      </c>
    </row>
    <row r="7" spans="1:18" s="16" customFormat="1" ht="23.45" hidden="1" customHeight="1" x14ac:dyDescent="0.2">
      <c r="A7" s="28" t="s">
        <v>154</v>
      </c>
      <c r="B7" s="348"/>
      <c r="C7" s="348"/>
      <c r="D7" s="348"/>
      <c r="E7" s="348"/>
      <c r="F7" s="349"/>
      <c r="G7" s="349"/>
      <c r="H7" s="349"/>
      <c r="I7" s="349"/>
      <c r="J7" s="348"/>
      <c r="K7" s="348"/>
      <c r="L7" s="350"/>
      <c r="M7" s="350"/>
      <c r="N7" s="348"/>
      <c r="O7" s="351"/>
      <c r="P7" s="351"/>
    </row>
    <row r="8" spans="1:18" ht="36.75" hidden="1" customHeight="1" x14ac:dyDescent="0.2">
      <c r="A8" s="352" t="s">
        <v>60</v>
      </c>
      <c r="B8" s="163">
        <v>1.07</v>
      </c>
      <c r="C8" s="163"/>
      <c r="D8" s="163"/>
      <c r="E8" s="163"/>
      <c r="F8" s="163"/>
      <c r="G8" s="163"/>
      <c r="H8" s="163" t="s">
        <v>61</v>
      </c>
      <c r="I8" s="163" t="s">
        <v>109</v>
      </c>
      <c r="J8" s="163">
        <v>0</v>
      </c>
      <c r="K8" s="163" t="s">
        <v>108</v>
      </c>
      <c r="L8" s="135">
        <v>41487</v>
      </c>
      <c r="M8" s="135"/>
      <c r="N8" s="163">
        <v>1.04</v>
      </c>
      <c r="O8" s="353" t="e">
        <f>N8/G8*100</f>
        <v>#DIV/0!</v>
      </c>
      <c r="P8" s="353">
        <f>N8/B8*100</f>
        <v>97.196261682242991</v>
      </c>
      <c r="Q8" s="343"/>
    </row>
    <row r="9" spans="1:18" ht="35.25" hidden="1" customHeight="1" x14ac:dyDescent="0.2">
      <c r="A9" s="28" t="s">
        <v>155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35"/>
      <c r="M9" s="135"/>
      <c r="N9" s="163"/>
      <c r="O9" s="353"/>
      <c r="P9" s="353"/>
      <c r="Q9" s="343"/>
    </row>
    <row r="10" spans="1:18" ht="35.25" hidden="1" customHeight="1" x14ac:dyDescent="0.2">
      <c r="A10" s="352" t="s">
        <v>60</v>
      </c>
      <c r="B10" s="163">
        <v>1.5369999999999999</v>
      </c>
      <c r="C10" s="163"/>
      <c r="D10" s="163"/>
      <c r="E10" s="163"/>
      <c r="F10" s="163"/>
      <c r="G10" s="163"/>
      <c r="H10" s="163" t="s">
        <v>62</v>
      </c>
      <c r="I10" s="163" t="s">
        <v>63</v>
      </c>
      <c r="J10" s="163" t="s">
        <v>64</v>
      </c>
      <c r="K10" s="163">
        <v>0</v>
      </c>
      <c r="L10" s="135">
        <v>40639</v>
      </c>
      <c r="M10" s="135"/>
      <c r="N10" s="163">
        <v>1.59</v>
      </c>
      <c r="O10" s="353" t="e">
        <f>N10/G10*100</f>
        <v>#DIV/0!</v>
      </c>
      <c r="P10" s="353">
        <f>N10/B10*100</f>
        <v>103.44827586206897</v>
      </c>
      <c r="Q10" s="343"/>
    </row>
    <row r="11" spans="1:18" ht="39.75" hidden="1" customHeight="1" x14ac:dyDescent="0.2">
      <c r="A11" s="29" t="s">
        <v>65</v>
      </c>
      <c r="B11" s="163">
        <v>4.2</v>
      </c>
      <c r="C11" s="354"/>
      <c r="D11" s="354"/>
      <c r="E11" s="354"/>
      <c r="F11" s="354"/>
      <c r="G11" s="163"/>
      <c r="H11" s="354">
        <v>4.17</v>
      </c>
      <c r="I11" s="354"/>
      <c r="J11" s="354"/>
      <c r="K11" s="354"/>
      <c r="L11" s="135">
        <v>41279</v>
      </c>
      <c r="M11" s="135"/>
      <c r="N11" s="163">
        <v>3.48</v>
      </c>
      <c r="O11" s="353" t="e">
        <f>N11/G11*100</f>
        <v>#DIV/0!</v>
      </c>
      <c r="P11" s="353">
        <f>N11/B11*100</f>
        <v>82.857142857142847</v>
      </c>
    </row>
    <row r="12" spans="1:18" ht="27.2" hidden="1" customHeight="1" x14ac:dyDescent="0.2">
      <c r="A12" s="28" t="s">
        <v>156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35"/>
      <c r="M12" s="135"/>
      <c r="N12" s="163"/>
      <c r="O12" s="353"/>
      <c r="P12" s="353"/>
      <c r="Q12" s="343"/>
    </row>
    <row r="13" spans="1:18" ht="22.35" hidden="1" customHeight="1" x14ac:dyDescent="0.2">
      <c r="A13" s="352" t="s">
        <v>60</v>
      </c>
      <c r="B13" s="163">
        <v>1.33</v>
      </c>
      <c r="C13" s="163"/>
      <c r="D13" s="163"/>
      <c r="E13" s="163"/>
      <c r="F13" s="163"/>
      <c r="G13" s="163"/>
      <c r="H13" s="163" t="s">
        <v>66</v>
      </c>
      <c r="I13" s="163" t="s">
        <v>67</v>
      </c>
      <c r="J13" s="163" t="s">
        <v>68</v>
      </c>
      <c r="K13" s="163" t="s">
        <v>69</v>
      </c>
      <c r="L13" s="135">
        <v>41456</v>
      </c>
      <c r="M13" s="135"/>
      <c r="N13" s="163">
        <v>1.1200000000000001</v>
      </c>
      <c r="O13" s="353" t="e">
        <f>N13/G13*100</f>
        <v>#DIV/0!</v>
      </c>
      <c r="P13" s="353">
        <f>N13/B13*100</f>
        <v>84.21052631578948</v>
      </c>
      <c r="Q13" s="343"/>
    </row>
    <row r="14" spans="1:18" ht="39.75" hidden="1" customHeight="1" x14ac:dyDescent="0.2">
      <c r="A14" s="29" t="s">
        <v>65</v>
      </c>
      <c r="B14" s="163">
        <v>8.1</v>
      </c>
      <c r="C14" s="354"/>
      <c r="D14" s="354"/>
      <c r="E14" s="354"/>
      <c r="F14" s="354"/>
      <c r="G14" s="163"/>
      <c r="H14" s="354">
        <v>8.19</v>
      </c>
      <c r="I14" s="354"/>
      <c r="J14" s="354"/>
      <c r="K14" s="354"/>
      <c r="L14" s="135">
        <v>40937</v>
      </c>
      <c r="M14" s="135"/>
      <c r="N14" s="163">
        <v>6.83</v>
      </c>
      <c r="O14" s="353" t="e">
        <f>N14/G14*100</f>
        <v>#DIV/0!</v>
      </c>
      <c r="P14" s="353">
        <f>N14/B14*100</f>
        <v>84.320987654320987</v>
      </c>
    </row>
    <row r="15" spans="1:18" ht="36.75" hidden="1" customHeight="1" x14ac:dyDescent="0.2">
      <c r="A15" s="28" t="s">
        <v>157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35"/>
      <c r="M15" s="135"/>
      <c r="N15" s="163"/>
      <c r="O15" s="353"/>
      <c r="P15" s="353"/>
      <c r="Q15" s="355"/>
    </row>
    <row r="16" spans="1:18" ht="59.45" hidden="1" customHeight="1" x14ac:dyDescent="0.2">
      <c r="A16" s="352" t="s">
        <v>60</v>
      </c>
      <c r="B16" s="163">
        <v>0.82</v>
      </c>
      <c r="C16" s="163"/>
      <c r="D16" s="163"/>
      <c r="E16" s="163"/>
      <c r="F16" s="163"/>
      <c r="G16" s="163"/>
      <c r="H16" s="163" t="s">
        <v>70</v>
      </c>
      <c r="I16" s="163" t="s">
        <v>71</v>
      </c>
      <c r="J16" s="163" t="s">
        <v>72</v>
      </c>
      <c r="K16" s="163">
        <v>0.36</v>
      </c>
      <c r="L16" s="135" t="s">
        <v>73</v>
      </c>
      <c r="M16" s="135"/>
      <c r="N16" s="163">
        <v>0.81</v>
      </c>
      <c r="O16" s="353" t="e">
        <f>N16/G16*100</f>
        <v>#DIV/0!</v>
      </c>
      <c r="P16" s="353">
        <f>N16/B16*100</f>
        <v>98.780487804878064</v>
      </c>
      <c r="Q16" s="355"/>
    </row>
    <row r="17" spans="1:19" ht="36.75" hidden="1" customHeight="1" x14ac:dyDescent="0.2">
      <c r="A17" s="28" t="s">
        <v>158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35"/>
      <c r="M17" s="135"/>
      <c r="N17" s="163"/>
      <c r="O17" s="353"/>
      <c r="P17" s="353"/>
      <c r="Q17" s="355"/>
    </row>
    <row r="18" spans="1:19" ht="36.75" hidden="1" customHeight="1" x14ac:dyDescent="0.2">
      <c r="A18" s="352" t="s">
        <v>60</v>
      </c>
      <c r="B18" s="163">
        <v>2.0499999999999998</v>
      </c>
      <c r="C18" s="163"/>
      <c r="D18" s="163"/>
      <c r="E18" s="163"/>
      <c r="F18" s="163"/>
      <c r="G18" s="163"/>
      <c r="H18" s="163" t="s">
        <v>74</v>
      </c>
      <c r="I18" s="163" t="s">
        <v>75</v>
      </c>
      <c r="J18" s="163" t="s">
        <v>76</v>
      </c>
      <c r="K18" s="163">
        <v>0.80600000000000005</v>
      </c>
      <c r="L18" s="135">
        <v>41001</v>
      </c>
      <c r="M18" s="135"/>
      <c r="N18" s="163">
        <v>1.88</v>
      </c>
      <c r="O18" s="353" t="e">
        <f>N18/G18*100</f>
        <v>#DIV/0!</v>
      </c>
      <c r="P18" s="353">
        <f>N18/B18*100</f>
        <v>91.707317073170742</v>
      </c>
      <c r="Q18" s="355"/>
    </row>
    <row r="19" spans="1:19" ht="36.75" hidden="1" customHeight="1" x14ac:dyDescent="0.2">
      <c r="A19" s="28" t="s">
        <v>159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35"/>
      <c r="M19" s="135"/>
      <c r="N19" s="163"/>
      <c r="O19" s="353"/>
      <c r="P19" s="353"/>
    </row>
    <row r="20" spans="1:19" ht="36.75" hidden="1" customHeight="1" x14ac:dyDescent="0.2">
      <c r="A20" s="29" t="s">
        <v>77</v>
      </c>
      <c r="B20" s="35">
        <v>0.86099999999999999</v>
      </c>
      <c r="C20" s="163"/>
      <c r="D20" s="163"/>
      <c r="E20" s="163"/>
      <c r="F20" s="163"/>
      <c r="G20" s="163"/>
      <c r="H20" s="163" t="s">
        <v>78</v>
      </c>
      <c r="I20" s="163" t="s">
        <v>79</v>
      </c>
      <c r="J20" s="163" t="s">
        <v>80</v>
      </c>
      <c r="K20" s="163">
        <v>0</v>
      </c>
      <c r="L20" s="135">
        <v>41395</v>
      </c>
      <c r="M20" s="135"/>
      <c r="N20" s="163">
        <v>1.07</v>
      </c>
      <c r="O20" s="353" t="e">
        <f>N20/G20*100</f>
        <v>#DIV/0!</v>
      </c>
      <c r="P20" s="353">
        <f>N20/B20*100</f>
        <v>124.27409988385598</v>
      </c>
    </row>
    <row r="21" spans="1:19" ht="36.75" hidden="1" customHeight="1" x14ac:dyDescent="0.2">
      <c r="A21" s="29" t="s">
        <v>118</v>
      </c>
      <c r="B21" s="35">
        <v>0.54</v>
      </c>
      <c r="C21" s="163"/>
      <c r="D21" s="163"/>
      <c r="E21" s="163"/>
      <c r="F21" s="163"/>
      <c r="G21" s="163"/>
      <c r="H21" s="163">
        <v>0</v>
      </c>
      <c r="I21" s="163">
        <v>0.66</v>
      </c>
      <c r="J21" s="163">
        <v>0.54</v>
      </c>
      <c r="K21" s="163">
        <v>0.42</v>
      </c>
      <c r="L21" s="135">
        <v>41701</v>
      </c>
      <c r="M21" s="135"/>
      <c r="N21" s="163">
        <v>0.54</v>
      </c>
      <c r="O21" s="353" t="e">
        <f>N21/G21*100</f>
        <v>#DIV/0!</v>
      </c>
      <c r="P21" s="353">
        <f>N21/B21*100</f>
        <v>100</v>
      </c>
    </row>
    <row r="22" spans="1:19" ht="36.75" hidden="1" customHeight="1" x14ac:dyDescent="0.2">
      <c r="A22" s="29" t="s">
        <v>81</v>
      </c>
      <c r="B22" s="35">
        <v>0.76</v>
      </c>
      <c r="C22" s="163"/>
      <c r="D22" s="163"/>
      <c r="E22" s="163"/>
      <c r="F22" s="163"/>
      <c r="G22" s="163"/>
      <c r="H22" s="163">
        <v>0</v>
      </c>
      <c r="I22" s="163" t="s">
        <v>82</v>
      </c>
      <c r="J22" s="163">
        <v>1.4</v>
      </c>
      <c r="K22" s="163">
        <v>0.33</v>
      </c>
      <c r="L22" s="135">
        <v>40909</v>
      </c>
      <c r="M22" s="135"/>
      <c r="N22" s="163">
        <v>0.99</v>
      </c>
      <c r="O22" s="353" t="e">
        <f>N22/G22*100</f>
        <v>#DIV/0!</v>
      </c>
      <c r="P22" s="353">
        <f>N22/B22*100</f>
        <v>130.26315789473685</v>
      </c>
    </row>
    <row r="23" spans="1:19" ht="36.75" hidden="1" customHeight="1" x14ac:dyDescent="0.2">
      <c r="A23" s="29" t="s">
        <v>119</v>
      </c>
      <c r="B23" s="163">
        <v>11.76</v>
      </c>
      <c r="C23" s="163"/>
      <c r="D23" s="354"/>
      <c r="E23" s="354"/>
      <c r="F23" s="354"/>
      <c r="G23" s="163"/>
      <c r="H23" s="163">
        <v>0</v>
      </c>
      <c r="I23" s="354">
        <v>11.76</v>
      </c>
      <c r="J23" s="354"/>
      <c r="K23" s="354"/>
      <c r="L23" s="135">
        <v>41699</v>
      </c>
      <c r="M23" s="135"/>
      <c r="N23" s="163">
        <v>11.76</v>
      </c>
      <c r="O23" s="353" t="e">
        <f>N23/G23*100</f>
        <v>#DIV/0!</v>
      </c>
      <c r="P23" s="353">
        <f>N23/B23*100</f>
        <v>100</v>
      </c>
    </row>
    <row r="24" spans="1:19" ht="55.5" customHeight="1" x14ac:dyDescent="0.2">
      <c r="A24" s="28" t="s">
        <v>83</v>
      </c>
      <c r="B24" s="356">
        <f>'жилье мое'!B42</f>
        <v>1.7759999999999998</v>
      </c>
      <c r="C24" s="230" t="str">
        <f>'жилье мое'!D42</f>
        <v>0,988-2,45</v>
      </c>
      <c r="D24" s="230" t="str">
        <f>'жилье мое'!E42</f>
        <v>0,46-1,72</v>
      </c>
      <c r="E24" s="230" t="str">
        <f>'жилье мое'!F42</f>
        <v>0,264-0,4163</v>
      </c>
      <c r="F24" s="230" t="str">
        <f>'жилье мое'!G42</f>
        <v>0,16-0,87</v>
      </c>
      <c r="G24" s="230">
        <f>'жилье мое'!H42</f>
        <v>2.6899000000000002</v>
      </c>
      <c r="H24" s="230" t="str">
        <f>'жилье мое'!I42</f>
        <v>0,97-2,08</v>
      </c>
      <c r="I24" s="230" t="str">
        <f>'жилье мое'!J42</f>
        <v>0,47-1,39</v>
      </c>
      <c r="J24" s="230" t="str">
        <f>'жилье мое'!K42</f>
        <v>0,26-0,42</v>
      </c>
      <c r="K24" s="230" t="str">
        <f>'жилье мое'!L42</f>
        <v>0,16-0,74</v>
      </c>
      <c r="L24" s="32">
        <v>43070</v>
      </c>
      <c r="M24" s="230" t="str">
        <f>'жилье мое'!N42</f>
        <v>№ 467 від 17.10.2017</v>
      </c>
      <c r="N24" s="230">
        <f>'жилье мое'!O42</f>
        <v>2.6899000000000002</v>
      </c>
      <c r="O24" s="353">
        <f>'жилье мое'!P42</f>
        <v>100</v>
      </c>
      <c r="P24" s="353">
        <f>'жилье мое'!Q42</f>
        <v>151.45833333333337</v>
      </c>
    </row>
    <row r="25" spans="1:19" ht="70.5" customHeight="1" x14ac:dyDescent="0.2">
      <c r="A25" s="352" t="s">
        <v>60</v>
      </c>
      <c r="B25" s="357">
        <f>'жилье мое'!B42</f>
        <v>1.7759999999999998</v>
      </c>
      <c r="F25" s="12"/>
      <c r="H25" s="12"/>
      <c r="I25" s="12"/>
      <c r="L25" s="12"/>
      <c r="M25" s="12"/>
      <c r="O25" s="353">
        <f>'жилье мое'!P42</f>
        <v>100</v>
      </c>
      <c r="P25" s="353">
        <f>'жилье мое'!Q42</f>
        <v>151.45833333333337</v>
      </c>
    </row>
    <row r="26" spans="1:19" ht="36.75" customHeight="1" x14ac:dyDescent="0.2">
      <c r="A26" s="29" t="s">
        <v>65</v>
      </c>
      <c r="B26" s="358">
        <v>6.4</v>
      </c>
      <c r="C26" s="359"/>
      <c r="D26" s="359"/>
      <c r="E26" s="359"/>
      <c r="F26" s="359"/>
      <c r="G26" s="358">
        <v>6.4</v>
      </c>
      <c r="H26" s="359">
        <v>6.4</v>
      </c>
      <c r="I26" s="359"/>
      <c r="J26" s="359"/>
      <c r="K26" s="359"/>
      <c r="L26" s="360">
        <v>41306</v>
      </c>
      <c r="M26" s="360"/>
      <c r="N26" s="358">
        <v>6.4</v>
      </c>
      <c r="O26" s="353">
        <f>N26/G26*100</f>
        <v>100</v>
      </c>
      <c r="P26" s="353">
        <f>N26/B26*100</f>
        <v>100</v>
      </c>
    </row>
    <row r="27" spans="1:19" ht="31.9" hidden="1" customHeight="1" x14ac:dyDescent="0.2">
      <c r="A27" s="28" t="s">
        <v>160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35"/>
      <c r="M27" s="135"/>
      <c r="N27" s="163"/>
      <c r="O27" s="353"/>
      <c r="P27" s="353"/>
    </row>
    <row r="28" spans="1:19" ht="40.5" hidden="1" customHeight="1" x14ac:dyDescent="0.2">
      <c r="A28" s="352" t="s">
        <v>60</v>
      </c>
      <c r="B28" s="163">
        <v>1.1299999999999999</v>
      </c>
      <c r="C28" s="163"/>
      <c r="D28" s="163"/>
      <c r="E28" s="163"/>
      <c r="F28" s="163"/>
      <c r="G28" s="163"/>
      <c r="H28" s="163" t="s">
        <v>84</v>
      </c>
      <c r="I28" s="163" t="s">
        <v>85</v>
      </c>
      <c r="J28" s="163" t="s">
        <v>86</v>
      </c>
      <c r="K28" s="163">
        <v>0.17</v>
      </c>
      <c r="L28" s="361">
        <v>41473</v>
      </c>
      <c r="M28" s="361"/>
      <c r="N28" s="163">
        <v>0.91</v>
      </c>
      <c r="O28" s="353" t="e">
        <f>N28/G28*100</f>
        <v>#DIV/0!</v>
      </c>
      <c r="P28" s="353">
        <f>N28/B28*100</f>
        <v>80.530973451327441</v>
      </c>
    </row>
    <row r="29" spans="1:19" ht="36.75" hidden="1" customHeight="1" x14ac:dyDescent="0.2">
      <c r="A29" s="29" t="s">
        <v>65</v>
      </c>
      <c r="B29" s="163">
        <v>7.38</v>
      </c>
      <c r="C29" s="354"/>
      <c r="D29" s="354"/>
      <c r="E29" s="354"/>
      <c r="F29" s="354"/>
      <c r="G29" s="163"/>
      <c r="H29" s="354">
        <v>8.7100000000000009</v>
      </c>
      <c r="I29" s="354"/>
      <c r="J29" s="354"/>
      <c r="K29" s="354"/>
      <c r="L29" s="135">
        <v>40909</v>
      </c>
      <c r="M29" s="135"/>
      <c r="N29" s="163">
        <v>7.26</v>
      </c>
      <c r="O29" s="353" t="e">
        <f>N29/G29*100</f>
        <v>#DIV/0!</v>
      </c>
      <c r="P29" s="353">
        <f>N29/B29*100</f>
        <v>98.373983739837399</v>
      </c>
    </row>
    <row r="30" spans="1:19" ht="24.75" customHeight="1" x14ac:dyDescent="0.2">
      <c r="A30" s="28" t="s">
        <v>87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35"/>
      <c r="M30" s="135"/>
      <c r="N30" s="163"/>
      <c r="O30" s="353"/>
      <c r="P30" s="353"/>
    </row>
    <row r="31" spans="1:19" ht="58.5" customHeight="1" x14ac:dyDescent="0.2">
      <c r="A31" s="352" t="s">
        <v>60</v>
      </c>
      <c r="B31" s="357">
        <v>1.5609999999999999</v>
      </c>
      <c r="C31" s="358">
        <v>1.5609999999999999</v>
      </c>
      <c r="D31" s="358">
        <v>1.343</v>
      </c>
      <c r="E31" s="358"/>
      <c r="F31" s="358"/>
      <c r="G31" s="358">
        <v>0.63</v>
      </c>
      <c r="H31" s="163" t="s">
        <v>426</v>
      </c>
      <c r="I31" s="362">
        <v>0.61799999999999999</v>
      </c>
      <c r="J31" s="358">
        <v>0</v>
      </c>
      <c r="K31" s="358">
        <v>0</v>
      </c>
      <c r="L31" s="360">
        <v>40452</v>
      </c>
      <c r="M31" s="292" t="s">
        <v>151</v>
      </c>
      <c r="N31" s="358">
        <v>0.63</v>
      </c>
      <c r="O31" s="353">
        <f>N31/G31*100</f>
        <v>100</v>
      </c>
      <c r="P31" s="353">
        <f>N31/B31*100</f>
        <v>40.358744394618832</v>
      </c>
      <c r="S31" s="12" t="s">
        <v>25</v>
      </c>
    </row>
    <row r="32" spans="1:19" ht="57" customHeight="1" x14ac:dyDescent="0.2">
      <c r="A32" s="352" t="s">
        <v>88</v>
      </c>
      <c r="B32" s="358">
        <v>2.99</v>
      </c>
      <c r="C32" s="358">
        <v>3.43</v>
      </c>
      <c r="D32" s="358"/>
      <c r="E32" s="358"/>
      <c r="F32" s="358"/>
      <c r="G32" s="358">
        <v>3.43</v>
      </c>
      <c r="H32" s="358">
        <v>0.24</v>
      </c>
      <c r="I32" s="358">
        <v>0</v>
      </c>
      <c r="J32" s="358">
        <v>0</v>
      </c>
      <c r="K32" s="358">
        <v>0</v>
      </c>
      <c r="L32" s="360">
        <v>39600</v>
      </c>
      <c r="M32" s="292" t="s">
        <v>152</v>
      </c>
      <c r="N32" s="358">
        <v>0.28999999999999998</v>
      </c>
      <c r="O32" s="353">
        <f t="shared" ref="O32:O80" si="0">N32/G32*100</f>
        <v>8.4548104956268215</v>
      </c>
      <c r="P32" s="353">
        <f>N32/B32*100</f>
        <v>9.6989966555183944</v>
      </c>
      <c r="Q32" s="343"/>
    </row>
    <row r="33" spans="1:65" ht="60" customHeight="1" x14ac:dyDescent="0.2">
      <c r="A33" s="29" t="s">
        <v>65</v>
      </c>
      <c r="B33" s="358">
        <v>6.02</v>
      </c>
      <c r="C33" s="358">
        <v>6.02</v>
      </c>
      <c r="D33" s="358">
        <v>6.02</v>
      </c>
      <c r="E33" s="358"/>
      <c r="F33" s="358"/>
      <c r="G33" s="358">
        <v>6.02</v>
      </c>
      <c r="H33" s="358">
        <v>4.33</v>
      </c>
      <c r="I33" s="358">
        <v>4.33</v>
      </c>
      <c r="J33" s="358">
        <v>4.59</v>
      </c>
      <c r="K33" s="358">
        <v>0</v>
      </c>
      <c r="L33" s="360">
        <v>40762</v>
      </c>
      <c r="M33" s="292" t="s">
        <v>153</v>
      </c>
      <c r="N33" s="358">
        <v>4.4625000000000004</v>
      </c>
      <c r="O33" s="353">
        <f t="shared" si="0"/>
        <v>74.1279069767442</v>
      </c>
      <c r="P33" s="353">
        <f>N33/B33*100</f>
        <v>74.1279069767442</v>
      </c>
    </row>
    <row r="34" spans="1:65" ht="35.25" customHeight="1" x14ac:dyDescent="0.2">
      <c r="A34" s="28" t="s">
        <v>89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35"/>
      <c r="M34" s="135"/>
      <c r="N34" s="163"/>
      <c r="O34" s="353"/>
      <c r="P34" s="353"/>
    </row>
    <row r="35" spans="1:65" s="364" customFormat="1" ht="76.5" customHeight="1" x14ac:dyDescent="0.2">
      <c r="A35" s="352" t="s">
        <v>60</v>
      </c>
      <c r="B35" s="358">
        <v>2.1</v>
      </c>
      <c r="C35" s="358">
        <v>1.52</v>
      </c>
      <c r="D35" s="358">
        <v>1.2</v>
      </c>
      <c r="E35" s="358"/>
      <c r="F35" s="358"/>
      <c r="G35" s="358">
        <v>1.27</v>
      </c>
      <c r="H35" s="358">
        <v>1.516</v>
      </c>
      <c r="I35" s="358">
        <v>1.2</v>
      </c>
      <c r="J35" s="358"/>
      <c r="K35" s="358"/>
      <c r="L35" s="360">
        <v>39722</v>
      </c>
      <c r="M35" s="363" t="s">
        <v>173</v>
      </c>
      <c r="N35" s="358">
        <v>1.27</v>
      </c>
      <c r="O35" s="353">
        <f t="shared" si="0"/>
        <v>100</v>
      </c>
      <c r="P35" s="353">
        <f>N35/B35*100</f>
        <v>60.476190476190474</v>
      </c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19"/>
      <c r="AO35" s="319"/>
      <c r="AP35" s="319"/>
      <c r="AQ35" s="319"/>
      <c r="AR35" s="319"/>
      <c r="AS35" s="319"/>
      <c r="AT35" s="319"/>
      <c r="AU35" s="319"/>
      <c r="AV35" s="319"/>
      <c r="AW35" s="319"/>
      <c r="AX35" s="319"/>
      <c r="AY35" s="319"/>
      <c r="AZ35" s="319"/>
      <c r="BA35" s="319"/>
      <c r="BB35" s="319"/>
      <c r="BC35" s="319"/>
      <c r="BD35" s="319"/>
      <c r="BE35" s="319"/>
      <c r="BF35" s="319"/>
      <c r="BG35" s="319"/>
      <c r="BH35" s="319"/>
      <c r="BI35" s="319"/>
      <c r="BJ35" s="319"/>
      <c r="BK35" s="319"/>
      <c r="BL35" s="319"/>
      <c r="BM35" s="319"/>
    </row>
    <row r="36" spans="1:65" s="364" customFormat="1" ht="55.5" customHeight="1" x14ac:dyDescent="0.2">
      <c r="A36" s="29" t="s">
        <v>65</v>
      </c>
      <c r="B36" s="358">
        <v>10.56</v>
      </c>
      <c r="C36" s="358"/>
      <c r="D36" s="358"/>
      <c r="E36" s="358"/>
      <c r="F36" s="358"/>
      <c r="G36" s="358"/>
      <c r="H36" s="358">
        <v>6.46</v>
      </c>
      <c r="I36" s="358">
        <v>6.46</v>
      </c>
      <c r="J36" s="358">
        <v>5.7</v>
      </c>
      <c r="K36" s="358"/>
      <c r="L36" s="360">
        <v>40767</v>
      </c>
      <c r="M36" s="363" t="s">
        <v>225</v>
      </c>
      <c r="N36" s="358">
        <v>6.46</v>
      </c>
      <c r="O36" s="353"/>
      <c r="P36" s="353">
        <f>N36/B36*100</f>
        <v>61.174242424242422</v>
      </c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19"/>
      <c r="AO36" s="319"/>
      <c r="AP36" s="319"/>
      <c r="AQ36" s="319"/>
      <c r="AR36" s="319"/>
      <c r="AS36" s="319"/>
      <c r="AT36" s="319"/>
      <c r="AU36" s="319"/>
      <c r="AV36" s="319"/>
      <c r="AW36" s="319"/>
      <c r="AX36" s="319"/>
      <c r="AY36" s="319"/>
      <c r="AZ36" s="319"/>
      <c r="BA36" s="319"/>
      <c r="BB36" s="319"/>
      <c r="BC36" s="319"/>
      <c r="BD36" s="319"/>
      <c r="BE36" s="319"/>
      <c r="BF36" s="319"/>
      <c r="BG36" s="319"/>
      <c r="BH36" s="319"/>
      <c r="BI36" s="319"/>
      <c r="BJ36" s="319"/>
      <c r="BK36" s="319"/>
      <c r="BL36" s="319"/>
      <c r="BM36" s="319"/>
    </row>
    <row r="37" spans="1:65" ht="35.25" hidden="1" customHeight="1" x14ac:dyDescent="0.2">
      <c r="A37" s="28" t="s">
        <v>161</v>
      </c>
      <c r="B37" s="163"/>
      <c r="C37" s="354"/>
      <c r="D37" s="354"/>
      <c r="E37" s="163"/>
      <c r="F37" s="163"/>
      <c r="G37" s="163"/>
      <c r="H37" s="354"/>
      <c r="I37" s="354"/>
      <c r="J37" s="163"/>
      <c r="K37" s="163"/>
      <c r="L37" s="135"/>
      <c r="M37" s="135"/>
      <c r="N37" s="163"/>
      <c r="O37" s="353" t="e">
        <f t="shared" si="0"/>
        <v>#DIV/0!</v>
      </c>
      <c r="P37" s="353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19"/>
      <c r="AO37" s="319"/>
      <c r="AP37" s="319"/>
      <c r="AQ37" s="319"/>
      <c r="AR37" s="319"/>
      <c r="AS37" s="319"/>
      <c r="AT37" s="319"/>
      <c r="AU37" s="319"/>
      <c r="AV37" s="319"/>
      <c r="AW37" s="319"/>
      <c r="AX37" s="319"/>
      <c r="AY37" s="319"/>
      <c r="AZ37" s="319"/>
      <c r="BA37" s="319"/>
      <c r="BB37" s="319"/>
      <c r="BC37" s="319"/>
      <c r="BD37" s="319"/>
      <c r="BE37" s="319"/>
      <c r="BF37" s="319"/>
      <c r="BG37" s="319"/>
      <c r="BH37" s="319"/>
      <c r="BI37" s="319"/>
      <c r="BJ37" s="319"/>
      <c r="BK37" s="319"/>
      <c r="BL37" s="319"/>
      <c r="BM37" s="319"/>
    </row>
    <row r="38" spans="1:65" ht="36.75" hidden="1" customHeight="1" x14ac:dyDescent="0.2">
      <c r="A38" s="352" t="s">
        <v>60</v>
      </c>
      <c r="B38" s="163">
        <v>0.68600000000000005</v>
      </c>
      <c r="C38" s="354"/>
      <c r="D38" s="354"/>
      <c r="E38" s="163"/>
      <c r="F38" s="163"/>
      <c r="G38" s="163"/>
      <c r="H38" s="365" t="s">
        <v>90</v>
      </c>
      <c r="I38" s="365" t="s">
        <v>114</v>
      </c>
      <c r="J38" s="163" t="s">
        <v>91</v>
      </c>
      <c r="K38" s="163" t="s">
        <v>115</v>
      </c>
      <c r="L38" s="361" t="s">
        <v>116</v>
      </c>
      <c r="M38" s="361"/>
      <c r="N38" s="163">
        <v>0.6522</v>
      </c>
      <c r="O38" s="353" t="e">
        <f t="shared" si="0"/>
        <v>#DIV/0!</v>
      </c>
      <c r="P38" s="353">
        <f>N38/B38*100</f>
        <v>95.072886297376087</v>
      </c>
    </row>
    <row r="39" spans="1:65" ht="39" hidden="1" customHeight="1" x14ac:dyDescent="0.2">
      <c r="A39" s="366" t="s">
        <v>88</v>
      </c>
      <c r="B39" s="163">
        <v>0.65</v>
      </c>
      <c r="C39" s="354"/>
      <c r="D39" s="354"/>
      <c r="E39" s="163"/>
      <c r="F39" s="163"/>
      <c r="G39" s="163"/>
      <c r="H39" s="354">
        <v>0.55000000000000004</v>
      </c>
      <c r="I39" s="354"/>
      <c r="J39" s="163">
        <v>0</v>
      </c>
      <c r="K39" s="163">
        <v>0</v>
      </c>
      <c r="L39" s="367" t="s">
        <v>92</v>
      </c>
      <c r="M39" s="367"/>
      <c r="N39" s="163">
        <v>0.55000000000000004</v>
      </c>
      <c r="O39" s="353" t="e">
        <f t="shared" si="0"/>
        <v>#DIV/0!</v>
      </c>
      <c r="P39" s="353">
        <f>N39/B39*100</f>
        <v>84.615384615384613</v>
      </c>
    </row>
    <row r="40" spans="1:65" ht="42.6" hidden="1" customHeight="1" x14ac:dyDescent="0.2">
      <c r="A40" s="29" t="s">
        <v>65</v>
      </c>
      <c r="B40" s="163">
        <v>35.57</v>
      </c>
      <c r="C40" s="354"/>
      <c r="D40" s="354"/>
      <c r="E40" s="354"/>
      <c r="F40" s="354"/>
      <c r="G40" s="163"/>
      <c r="H40" s="354">
        <v>41.92</v>
      </c>
      <c r="I40" s="354"/>
      <c r="J40" s="354"/>
      <c r="K40" s="354"/>
      <c r="L40" s="135">
        <v>41334</v>
      </c>
      <c r="M40" s="135"/>
      <c r="N40" s="163">
        <v>35.770000000000003</v>
      </c>
      <c r="O40" s="353" t="e">
        <f t="shared" si="0"/>
        <v>#DIV/0!</v>
      </c>
      <c r="P40" s="353">
        <f>N40/B40*100</f>
        <v>100.56227157717178</v>
      </c>
    </row>
    <row r="41" spans="1:65" ht="39" customHeight="1" x14ac:dyDescent="0.2">
      <c r="A41" s="28" t="s">
        <v>93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35"/>
      <c r="M41" s="135"/>
      <c r="N41" s="163"/>
      <c r="O41" s="353"/>
      <c r="P41" s="353"/>
    </row>
    <row r="42" spans="1:65" ht="77.25" customHeight="1" x14ac:dyDescent="0.2">
      <c r="A42" s="352" t="s">
        <v>60</v>
      </c>
      <c r="B42" s="356">
        <v>2.91</v>
      </c>
      <c r="C42" s="356">
        <v>2.58</v>
      </c>
      <c r="D42" s="356">
        <v>2.58</v>
      </c>
      <c r="E42" s="356">
        <v>3.87</v>
      </c>
      <c r="F42" s="356">
        <v>2.57</v>
      </c>
      <c r="G42" s="356">
        <v>2.91</v>
      </c>
      <c r="H42" s="163">
        <v>2.58</v>
      </c>
      <c r="I42" s="163" t="s">
        <v>462</v>
      </c>
      <c r="J42" s="163">
        <v>3.87</v>
      </c>
      <c r="K42" s="163">
        <v>2.57</v>
      </c>
      <c r="L42" s="135"/>
      <c r="M42" s="230" t="s">
        <v>463</v>
      </c>
      <c r="N42" s="163">
        <v>2.91</v>
      </c>
      <c r="O42" s="353">
        <f t="shared" si="0"/>
        <v>100</v>
      </c>
      <c r="P42" s="353">
        <f>N42/B42*100</f>
        <v>100</v>
      </c>
    </row>
    <row r="43" spans="1:65" ht="72.75" customHeight="1" x14ac:dyDescent="0.2">
      <c r="A43" s="29" t="s">
        <v>65</v>
      </c>
      <c r="B43" s="163">
        <v>12.5</v>
      </c>
      <c r="C43" s="163">
        <v>12.19</v>
      </c>
      <c r="D43" s="163">
        <v>12.19</v>
      </c>
      <c r="E43" s="163">
        <v>12.19</v>
      </c>
      <c r="F43" s="163">
        <v>12.19</v>
      </c>
      <c r="G43" s="163">
        <v>12.19</v>
      </c>
      <c r="H43" s="163">
        <v>10.16</v>
      </c>
      <c r="I43" s="163">
        <v>10.16</v>
      </c>
      <c r="J43" s="163">
        <v>10.16</v>
      </c>
      <c r="K43" s="163">
        <v>10.16</v>
      </c>
      <c r="L43" s="135">
        <v>42948</v>
      </c>
      <c r="M43" s="230" t="s">
        <v>452</v>
      </c>
      <c r="N43" s="163">
        <v>12.19</v>
      </c>
      <c r="O43" s="353">
        <f t="shared" si="0"/>
        <v>100</v>
      </c>
      <c r="P43" s="353">
        <f>N43/B43*100</f>
        <v>97.52</v>
      </c>
    </row>
    <row r="44" spans="1:65" ht="36.75" hidden="1" customHeight="1" x14ac:dyDescent="0.2">
      <c r="A44" s="28" t="s">
        <v>162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35"/>
      <c r="M44" s="135"/>
      <c r="N44" s="163"/>
      <c r="O44" s="353" t="e">
        <f t="shared" si="0"/>
        <v>#DIV/0!</v>
      </c>
      <c r="P44" s="353"/>
    </row>
    <row r="45" spans="1:65" ht="36.75" hidden="1" customHeight="1" x14ac:dyDescent="0.2">
      <c r="A45" s="352" t="s">
        <v>60</v>
      </c>
      <c r="B45" s="163">
        <v>2.06</v>
      </c>
      <c r="C45" s="163"/>
      <c r="D45" s="163"/>
      <c r="E45" s="163"/>
      <c r="F45" s="163"/>
      <c r="G45" s="163"/>
      <c r="H45" s="163" t="s">
        <v>94</v>
      </c>
      <c r="I45" s="163" t="s">
        <v>95</v>
      </c>
      <c r="J45" s="163" t="s">
        <v>96</v>
      </c>
      <c r="K45" s="163" t="s">
        <v>97</v>
      </c>
      <c r="L45" s="135">
        <v>41426</v>
      </c>
      <c r="M45" s="135"/>
      <c r="N45" s="163">
        <v>1.82</v>
      </c>
      <c r="O45" s="353" t="e">
        <f t="shared" si="0"/>
        <v>#DIV/0!</v>
      </c>
      <c r="P45" s="353">
        <f>N45/B45*100</f>
        <v>88.349514563106794</v>
      </c>
    </row>
    <row r="46" spans="1:65" ht="36.75" hidden="1" customHeight="1" x14ac:dyDescent="0.2">
      <c r="A46" s="29" t="s">
        <v>65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35"/>
      <c r="M46" s="135"/>
      <c r="N46" s="163"/>
      <c r="O46" s="353" t="e">
        <f t="shared" si="0"/>
        <v>#DIV/0!</v>
      </c>
      <c r="P46" s="353"/>
    </row>
    <row r="47" spans="1:65" ht="36.75" customHeight="1" x14ac:dyDescent="0.2">
      <c r="A47" s="28" t="s">
        <v>98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35"/>
      <c r="M47" s="135"/>
      <c r="N47" s="163"/>
      <c r="O47" s="353"/>
      <c r="P47" s="353"/>
      <c r="Q47" s="368"/>
    </row>
    <row r="48" spans="1:65" ht="69.75" customHeight="1" x14ac:dyDescent="0.2">
      <c r="A48" s="29" t="s">
        <v>65</v>
      </c>
      <c r="B48" s="163">
        <v>19.64</v>
      </c>
      <c r="C48" s="163"/>
      <c r="D48" s="163"/>
      <c r="E48" s="163">
        <v>14.96</v>
      </c>
      <c r="F48" s="163"/>
      <c r="G48" s="163">
        <v>14.96</v>
      </c>
      <c r="H48" s="163">
        <v>0</v>
      </c>
      <c r="I48" s="163"/>
      <c r="J48" s="163">
        <v>14.96</v>
      </c>
      <c r="K48" s="163">
        <v>0</v>
      </c>
      <c r="L48" s="135">
        <v>42788</v>
      </c>
      <c r="M48" s="135" t="s">
        <v>220</v>
      </c>
      <c r="N48" s="163">
        <v>14.96</v>
      </c>
      <c r="O48" s="353">
        <f t="shared" si="0"/>
        <v>100</v>
      </c>
      <c r="P48" s="353">
        <f>N48/B48*100</f>
        <v>76.171079429735229</v>
      </c>
      <c r="Q48" s="368"/>
    </row>
    <row r="49" spans="1:23" ht="36.75" customHeight="1" x14ac:dyDescent="0.2">
      <c r="A49" s="28" t="s">
        <v>104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35"/>
      <c r="M49" s="135"/>
      <c r="N49" s="163"/>
      <c r="O49" s="353"/>
      <c r="P49" s="353"/>
      <c r="Q49" s="369"/>
      <c r="R49" s="370"/>
      <c r="S49" s="370"/>
      <c r="T49" s="370"/>
      <c r="U49" s="370"/>
      <c r="V49" s="370"/>
      <c r="W49" s="370"/>
    </row>
    <row r="50" spans="1:23" ht="69.75" customHeight="1" x14ac:dyDescent="0.2">
      <c r="A50" s="352" t="s">
        <v>60</v>
      </c>
      <c r="B50" s="163">
        <v>0.53</v>
      </c>
      <c r="C50" s="163"/>
      <c r="D50" s="163"/>
      <c r="E50" s="163" t="s">
        <v>174</v>
      </c>
      <c r="F50" s="163"/>
      <c r="G50" s="163">
        <v>0.21</v>
      </c>
      <c r="H50" s="163"/>
      <c r="I50" s="163"/>
      <c r="J50" s="163" t="s">
        <v>427</v>
      </c>
      <c r="K50" s="163"/>
      <c r="L50" s="135">
        <v>40817</v>
      </c>
      <c r="M50" s="135" t="s">
        <v>175</v>
      </c>
      <c r="N50" s="163">
        <v>0.21</v>
      </c>
      <c r="O50" s="353">
        <f t="shared" si="0"/>
        <v>100</v>
      </c>
      <c r="P50" s="353">
        <f>N50/B50*100</f>
        <v>39.622641509433961</v>
      </c>
      <c r="Q50" s="331"/>
      <c r="R50" s="343"/>
      <c r="S50" s="343"/>
      <c r="T50" s="343"/>
      <c r="U50" s="343"/>
      <c r="V50" s="343"/>
      <c r="W50" s="343"/>
    </row>
    <row r="51" spans="1:23" ht="75.75" customHeight="1" x14ac:dyDescent="0.2">
      <c r="A51" s="29" t="s">
        <v>99</v>
      </c>
      <c r="B51" s="163">
        <v>17</v>
      </c>
      <c r="C51" s="163"/>
      <c r="D51" s="163"/>
      <c r="E51" s="163">
        <v>16</v>
      </c>
      <c r="F51" s="163"/>
      <c r="G51" s="163">
        <v>16</v>
      </c>
      <c r="H51" s="163"/>
      <c r="I51" s="163"/>
      <c r="J51" s="163">
        <v>16</v>
      </c>
      <c r="K51" s="163"/>
      <c r="L51" s="135">
        <v>42125</v>
      </c>
      <c r="M51" s="135" t="s">
        <v>221</v>
      </c>
      <c r="N51" s="163">
        <v>16</v>
      </c>
      <c r="O51" s="353">
        <f t="shared" si="0"/>
        <v>100</v>
      </c>
      <c r="P51" s="353">
        <f>N51/B51*100</f>
        <v>94.117647058823522</v>
      </c>
      <c r="Q51" s="331"/>
      <c r="R51" s="343"/>
      <c r="S51" s="343"/>
      <c r="T51" s="343"/>
      <c r="U51" s="343"/>
      <c r="V51" s="343"/>
      <c r="W51" s="343"/>
    </row>
    <row r="52" spans="1:23" ht="36.75" customHeight="1" x14ac:dyDescent="0.2">
      <c r="A52" s="28" t="s">
        <v>223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35"/>
      <c r="M52" s="135"/>
      <c r="N52" s="163"/>
      <c r="O52" s="353"/>
      <c r="P52" s="353"/>
    </row>
    <row r="53" spans="1:23" ht="36.75" customHeight="1" x14ac:dyDescent="0.2">
      <c r="A53" s="352" t="s">
        <v>60</v>
      </c>
      <c r="B53" s="356">
        <v>0.45900000000000002</v>
      </c>
      <c r="C53" s="163"/>
      <c r="D53" s="356">
        <v>1.07</v>
      </c>
      <c r="E53" s="356">
        <v>0.13</v>
      </c>
      <c r="F53" s="356">
        <v>0.12820000000000001</v>
      </c>
      <c r="G53" s="356">
        <v>0.45</v>
      </c>
      <c r="H53" s="163">
        <v>0</v>
      </c>
      <c r="I53" s="356">
        <v>1.08</v>
      </c>
      <c r="J53" s="356">
        <v>0.1419</v>
      </c>
      <c r="K53" s="356">
        <v>0.12820000000000001</v>
      </c>
      <c r="L53" s="135" t="s">
        <v>418</v>
      </c>
      <c r="M53" s="135">
        <v>43132</v>
      </c>
      <c r="N53" s="356">
        <v>0.45</v>
      </c>
      <c r="O53" s="353">
        <f t="shared" si="0"/>
        <v>100</v>
      </c>
      <c r="P53" s="353">
        <f>N53/B53*100</f>
        <v>98.039215686274503</v>
      </c>
    </row>
    <row r="54" spans="1:23" ht="36.75" customHeight="1" x14ac:dyDescent="0.2">
      <c r="A54" s="29" t="s">
        <v>65</v>
      </c>
      <c r="B54" s="163">
        <v>115.67</v>
      </c>
      <c r="C54" s="354">
        <v>106.7</v>
      </c>
      <c r="D54" s="354"/>
      <c r="E54" s="354"/>
      <c r="F54" s="354"/>
      <c r="G54" s="163">
        <v>106.7</v>
      </c>
      <c r="H54" s="354">
        <v>96.3</v>
      </c>
      <c r="I54" s="354"/>
      <c r="J54" s="354"/>
      <c r="K54" s="354"/>
      <c r="L54" s="135">
        <v>42795</v>
      </c>
      <c r="M54" s="135"/>
      <c r="N54" s="163">
        <v>102.72</v>
      </c>
      <c r="O54" s="353">
        <f t="shared" si="0"/>
        <v>96.269915651358957</v>
      </c>
      <c r="P54" s="353">
        <f>N54/B54*100</f>
        <v>88.804357223134772</v>
      </c>
    </row>
    <row r="55" spans="1:23" ht="37.700000000000003" hidden="1" customHeight="1" x14ac:dyDescent="0.2">
      <c r="A55" s="28" t="s">
        <v>163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35"/>
      <c r="M55" s="135"/>
      <c r="N55" s="163"/>
      <c r="O55" s="353" t="e">
        <f t="shared" si="0"/>
        <v>#DIV/0!</v>
      </c>
      <c r="P55" s="353"/>
    </row>
    <row r="56" spans="1:23" ht="41.45" hidden="1" customHeight="1" x14ac:dyDescent="0.2">
      <c r="A56" s="352" t="s">
        <v>60</v>
      </c>
      <c r="B56" s="163">
        <v>1.026</v>
      </c>
      <c r="C56" s="163"/>
      <c r="D56" s="163"/>
      <c r="E56" s="163"/>
      <c r="F56" s="163"/>
      <c r="G56" s="163"/>
      <c r="H56" s="163" t="s">
        <v>121</v>
      </c>
      <c r="I56" s="163" t="s">
        <v>113</v>
      </c>
      <c r="J56" s="163">
        <v>0</v>
      </c>
      <c r="K56" s="163">
        <v>0</v>
      </c>
      <c r="L56" s="135" t="s">
        <v>122</v>
      </c>
      <c r="M56" s="135"/>
      <c r="N56" s="163">
        <v>1.075</v>
      </c>
      <c r="O56" s="353" t="e">
        <f t="shared" si="0"/>
        <v>#DIV/0!</v>
      </c>
      <c r="P56" s="353">
        <f>N56/B56*100</f>
        <v>104.77582846003899</v>
      </c>
    </row>
    <row r="57" spans="1:23" ht="44.25" hidden="1" customHeight="1" x14ac:dyDescent="0.2">
      <c r="A57" s="29" t="s">
        <v>99</v>
      </c>
      <c r="B57" s="163">
        <v>5.81</v>
      </c>
      <c r="C57" s="354"/>
      <c r="D57" s="354"/>
      <c r="E57" s="354"/>
      <c r="F57" s="354"/>
      <c r="G57" s="163"/>
      <c r="H57" s="354">
        <v>6.68</v>
      </c>
      <c r="I57" s="354"/>
      <c r="J57" s="354"/>
      <c r="K57" s="354"/>
      <c r="L57" s="135">
        <v>40725</v>
      </c>
      <c r="M57" s="135"/>
      <c r="N57" s="163">
        <v>5.0599999999999996</v>
      </c>
      <c r="O57" s="353" t="e">
        <f t="shared" si="0"/>
        <v>#DIV/0!</v>
      </c>
      <c r="P57" s="353">
        <f>N57/B57*100</f>
        <v>87.091222030981058</v>
      </c>
    </row>
    <row r="58" spans="1:23" ht="36.75" hidden="1" customHeight="1" x14ac:dyDescent="0.2">
      <c r="A58" s="28" t="s">
        <v>164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35"/>
      <c r="M58" s="135"/>
      <c r="N58" s="163"/>
      <c r="O58" s="353" t="e">
        <f t="shared" si="0"/>
        <v>#DIV/0!</v>
      </c>
      <c r="P58" s="353"/>
    </row>
    <row r="59" spans="1:23" ht="36.75" hidden="1" customHeight="1" x14ac:dyDescent="0.2">
      <c r="A59" s="352" t="s">
        <v>60</v>
      </c>
      <c r="B59" s="163">
        <v>1.091</v>
      </c>
      <c r="C59" s="163"/>
      <c r="D59" s="163"/>
      <c r="E59" s="163"/>
      <c r="F59" s="163"/>
      <c r="G59" s="163"/>
      <c r="H59" s="163" t="s">
        <v>110</v>
      </c>
      <c r="I59" s="163" t="s">
        <v>111</v>
      </c>
      <c r="J59" s="163">
        <v>0.59</v>
      </c>
      <c r="K59" s="163" t="s">
        <v>112</v>
      </c>
      <c r="L59" s="135">
        <v>41548</v>
      </c>
      <c r="M59" s="135"/>
      <c r="N59" s="163">
        <v>1.4477</v>
      </c>
      <c r="O59" s="353" t="e">
        <f t="shared" si="0"/>
        <v>#DIV/0!</v>
      </c>
      <c r="P59" s="353">
        <f>N59/B59*100</f>
        <v>132.69477543538039</v>
      </c>
    </row>
    <row r="60" spans="1:23" ht="36.75" hidden="1" customHeight="1" x14ac:dyDescent="0.2">
      <c r="A60" s="352" t="s">
        <v>88</v>
      </c>
      <c r="B60" s="163">
        <v>0.54</v>
      </c>
      <c r="C60" s="354"/>
      <c r="D60" s="354"/>
      <c r="E60" s="163"/>
      <c r="F60" s="163"/>
      <c r="G60" s="163"/>
      <c r="H60" s="354">
        <v>0.54700000000000004</v>
      </c>
      <c r="I60" s="354"/>
      <c r="J60" s="163">
        <v>0</v>
      </c>
      <c r="K60" s="163">
        <v>0</v>
      </c>
      <c r="L60" s="135">
        <v>39753</v>
      </c>
      <c r="M60" s="135"/>
      <c r="N60" s="163">
        <v>0.54700000000000004</v>
      </c>
      <c r="O60" s="353" t="e">
        <f t="shared" si="0"/>
        <v>#DIV/0!</v>
      </c>
      <c r="P60" s="353">
        <f>N60/B60*100</f>
        <v>101.2962962962963</v>
      </c>
      <c r="Q60" s="343"/>
    </row>
    <row r="61" spans="1:23" ht="36.75" hidden="1" customHeight="1" x14ac:dyDescent="0.2">
      <c r="A61" s="29" t="s">
        <v>65</v>
      </c>
      <c r="B61" s="163">
        <v>8.31</v>
      </c>
      <c r="C61" s="354"/>
      <c r="D61" s="354"/>
      <c r="E61" s="354"/>
      <c r="F61" s="354"/>
      <c r="G61" s="163"/>
      <c r="H61" s="354">
        <v>9.31</v>
      </c>
      <c r="I61" s="354"/>
      <c r="J61" s="354"/>
      <c r="K61" s="354"/>
      <c r="L61" s="135">
        <v>40909</v>
      </c>
      <c r="M61" s="135"/>
      <c r="N61" s="163">
        <v>8.6199999999999992</v>
      </c>
      <c r="O61" s="353" t="e">
        <f t="shared" si="0"/>
        <v>#DIV/0!</v>
      </c>
      <c r="P61" s="353">
        <f>N61/B61*100</f>
        <v>103.73044524669072</v>
      </c>
    </row>
    <row r="62" spans="1:23" ht="36.75" customHeight="1" x14ac:dyDescent="0.2">
      <c r="A62" s="28" t="s">
        <v>21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35"/>
      <c r="M62" s="135"/>
      <c r="N62" s="163"/>
      <c r="O62" s="353"/>
      <c r="P62" s="353"/>
    </row>
    <row r="63" spans="1:23" ht="100.5" customHeight="1" x14ac:dyDescent="0.2">
      <c r="A63" s="352" t="s">
        <v>60</v>
      </c>
      <c r="B63" s="35">
        <v>2.0750000000000002</v>
      </c>
      <c r="C63" s="163"/>
      <c r="D63" s="362">
        <v>1.87</v>
      </c>
      <c r="E63" s="163"/>
      <c r="F63" s="163"/>
      <c r="G63" s="362">
        <v>1.87</v>
      </c>
      <c r="H63" s="163">
        <v>0</v>
      </c>
      <c r="I63" s="362">
        <v>1.87</v>
      </c>
      <c r="J63" s="163">
        <v>0</v>
      </c>
      <c r="K63" s="163">
        <v>0</v>
      </c>
      <c r="L63" s="371">
        <v>42248</v>
      </c>
      <c r="M63" s="292" t="s">
        <v>143</v>
      </c>
      <c r="N63" s="362">
        <v>1.87</v>
      </c>
      <c r="O63" s="353">
        <f t="shared" si="0"/>
        <v>100</v>
      </c>
      <c r="P63" s="353">
        <f>N63/B63*100</f>
        <v>90.120481927710841</v>
      </c>
    </row>
    <row r="64" spans="1:23" ht="70.5" customHeight="1" x14ac:dyDescent="0.2">
      <c r="A64" s="29" t="s">
        <v>144</v>
      </c>
      <c r="B64" s="35">
        <v>95.92</v>
      </c>
      <c r="C64" s="163"/>
      <c r="D64" s="163">
        <v>84.07</v>
      </c>
      <c r="E64" s="163">
        <v>84.07</v>
      </c>
      <c r="F64" s="163"/>
      <c r="G64" s="163">
        <v>84.07</v>
      </c>
      <c r="H64" s="163">
        <v>0</v>
      </c>
      <c r="I64" s="163">
        <v>84.07</v>
      </c>
      <c r="J64" s="163">
        <v>84.07</v>
      </c>
      <c r="K64" s="163">
        <v>0</v>
      </c>
      <c r="L64" s="135">
        <v>42339</v>
      </c>
      <c r="M64" s="292" t="s">
        <v>145</v>
      </c>
      <c r="N64" s="163">
        <v>84.07</v>
      </c>
      <c r="O64" s="353">
        <f t="shared" si="0"/>
        <v>100</v>
      </c>
      <c r="P64" s="353">
        <f>N64/B64*100</f>
        <v>87.645954962468721</v>
      </c>
    </row>
    <row r="65" spans="1:18" ht="61.5" customHeight="1" x14ac:dyDescent="0.2">
      <c r="A65" s="151" t="s">
        <v>176</v>
      </c>
      <c r="B65" s="372"/>
      <c r="C65" s="373"/>
      <c r="D65" s="373"/>
      <c r="E65" s="373"/>
      <c r="F65" s="373"/>
      <c r="G65" s="373"/>
      <c r="H65" s="373"/>
      <c r="I65" s="373"/>
      <c r="J65" s="373"/>
      <c r="K65" s="373"/>
      <c r="L65" s="374"/>
      <c r="M65" s="374"/>
      <c r="N65" s="373"/>
      <c r="O65" s="353"/>
      <c r="P65" s="19"/>
    </row>
    <row r="66" spans="1:18" ht="68.25" customHeight="1" x14ac:dyDescent="0.2">
      <c r="A66" s="21" t="s">
        <v>60</v>
      </c>
      <c r="B66" s="375">
        <v>1.1599999999999999</v>
      </c>
      <c r="C66" s="137"/>
      <c r="D66" s="137">
        <v>1.29</v>
      </c>
      <c r="E66" s="137">
        <v>0.86</v>
      </c>
      <c r="F66" s="137">
        <v>0</v>
      </c>
      <c r="G66" s="137">
        <v>1.2</v>
      </c>
      <c r="H66" s="137"/>
      <c r="I66" s="137">
        <v>1.1100000000000001</v>
      </c>
      <c r="J66" s="137">
        <v>0.7</v>
      </c>
      <c r="K66" s="137"/>
      <c r="L66" s="121">
        <v>42826</v>
      </c>
      <c r="M66" s="121" t="s">
        <v>228</v>
      </c>
      <c r="N66" s="137">
        <v>1.2</v>
      </c>
      <c r="O66" s="353">
        <f t="shared" si="0"/>
        <v>100</v>
      </c>
      <c r="P66" s="36">
        <f t="shared" ref="P66:P78" si="1">N66/B66*100</f>
        <v>103.44827586206897</v>
      </c>
    </row>
    <row r="67" spans="1:18" ht="66.75" customHeight="1" x14ac:dyDescent="0.2">
      <c r="A67" s="376" t="s">
        <v>65</v>
      </c>
      <c r="B67" s="377">
        <v>14.83</v>
      </c>
      <c r="C67" s="378"/>
      <c r="D67" s="379">
        <v>16.600000000000001</v>
      </c>
      <c r="E67" s="380">
        <v>14.2</v>
      </c>
      <c r="F67" s="381"/>
      <c r="G67" s="378">
        <v>15.4</v>
      </c>
      <c r="H67" s="378"/>
      <c r="I67" s="379">
        <v>14.2</v>
      </c>
      <c r="J67" s="382"/>
      <c r="K67" s="381"/>
      <c r="L67" s="383">
        <v>42826</v>
      </c>
      <c r="M67" s="383" t="s">
        <v>227</v>
      </c>
      <c r="N67" s="378">
        <v>15.4</v>
      </c>
      <c r="O67" s="353">
        <f t="shared" si="0"/>
        <v>100</v>
      </c>
      <c r="P67" s="210">
        <f t="shared" si="1"/>
        <v>103.8435603506406</v>
      </c>
    </row>
    <row r="68" spans="1:18" ht="36.75" hidden="1" customHeight="1" x14ac:dyDescent="0.2">
      <c r="A68" s="153" t="s">
        <v>165</v>
      </c>
      <c r="B68" s="372"/>
      <c r="C68" s="373"/>
      <c r="D68" s="373"/>
      <c r="E68" s="373"/>
      <c r="F68" s="373"/>
      <c r="G68" s="373"/>
      <c r="H68" s="373"/>
      <c r="I68" s="373"/>
      <c r="J68" s="373"/>
      <c r="K68" s="373"/>
      <c r="L68" s="374"/>
      <c r="M68" s="374"/>
      <c r="N68" s="373"/>
      <c r="O68" s="384" t="e">
        <f t="shared" si="0"/>
        <v>#DIV/0!</v>
      </c>
      <c r="P68" s="19" t="e">
        <f t="shared" si="1"/>
        <v>#DIV/0!</v>
      </c>
    </row>
    <row r="69" spans="1:18" ht="36.75" hidden="1" customHeight="1" x14ac:dyDescent="0.2">
      <c r="A69" s="21" t="s">
        <v>60</v>
      </c>
      <c r="B69" s="137">
        <v>0.79</v>
      </c>
      <c r="C69" s="137"/>
      <c r="D69" s="137"/>
      <c r="E69" s="137"/>
      <c r="F69" s="137"/>
      <c r="G69" s="137"/>
      <c r="H69" s="137">
        <v>0.93600000000000005</v>
      </c>
      <c r="I69" s="137">
        <v>0.93600000000000005</v>
      </c>
      <c r="J69" s="137">
        <v>0</v>
      </c>
      <c r="K69" s="137" t="s">
        <v>100</v>
      </c>
      <c r="L69" s="121">
        <v>40749</v>
      </c>
      <c r="M69" s="121"/>
      <c r="N69" s="137">
        <v>0.53500000000000003</v>
      </c>
      <c r="O69" s="353" t="e">
        <f t="shared" si="0"/>
        <v>#DIV/0!</v>
      </c>
      <c r="P69" s="36">
        <f t="shared" si="1"/>
        <v>67.721518987341781</v>
      </c>
    </row>
    <row r="70" spans="1:18" ht="36.75" hidden="1" customHeight="1" x14ac:dyDescent="0.2">
      <c r="A70" s="21" t="s">
        <v>65</v>
      </c>
      <c r="B70" s="162">
        <v>0.47</v>
      </c>
      <c r="C70" s="385"/>
      <c r="D70" s="385"/>
      <c r="E70" s="385"/>
      <c r="F70" s="385"/>
      <c r="G70" s="162"/>
      <c r="H70" s="385">
        <v>0.312</v>
      </c>
      <c r="I70" s="385"/>
      <c r="J70" s="385"/>
      <c r="K70" s="385"/>
      <c r="L70" s="386">
        <v>40909</v>
      </c>
      <c r="M70" s="386"/>
      <c r="N70" s="162">
        <v>0.26</v>
      </c>
      <c r="O70" s="353" t="e">
        <f t="shared" si="0"/>
        <v>#DIV/0!</v>
      </c>
      <c r="P70" s="36">
        <f t="shared" si="1"/>
        <v>55.319148936170215</v>
      </c>
    </row>
    <row r="71" spans="1:18" ht="44.25" hidden="1" customHeight="1" x14ac:dyDescent="0.2">
      <c r="A71" s="20" t="s">
        <v>166</v>
      </c>
      <c r="B71" s="162"/>
      <c r="C71" s="387"/>
      <c r="D71" s="387"/>
      <c r="E71" s="387"/>
      <c r="F71" s="387"/>
      <c r="G71" s="387"/>
      <c r="H71" s="387"/>
      <c r="I71" s="387"/>
      <c r="J71" s="387"/>
      <c r="K71" s="387"/>
      <c r="L71" s="388"/>
      <c r="M71" s="388"/>
      <c r="N71" s="387"/>
      <c r="O71" s="353" t="e">
        <f t="shared" si="0"/>
        <v>#DIV/0!</v>
      </c>
      <c r="P71" s="36" t="e">
        <f t="shared" si="1"/>
        <v>#DIV/0!</v>
      </c>
      <c r="Q71" s="389"/>
      <c r="R71" s="389"/>
    </row>
    <row r="72" spans="1:18" ht="44.25" hidden="1" customHeight="1" x14ac:dyDescent="0.2">
      <c r="A72" s="21" t="s">
        <v>60</v>
      </c>
      <c r="B72" s="390">
        <v>0.88</v>
      </c>
      <c r="C72" s="390"/>
      <c r="D72" s="390"/>
      <c r="E72" s="390"/>
      <c r="F72" s="390"/>
      <c r="G72" s="390"/>
      <c r="H72" s="390" t="s">
        <v>101</v>
      </c>
      <c r="I72" s="390" t="s">
        <v>117</v>
      </c>
      <c r="J72" s="390">
        <v>0</v>
      </c>
      <c r="K72" s="390">
        <v>0</v>
      </c>
      <c r="L72" s="52">
        <v>40914</v>
      </c>
      <c r="M72" s="52"/>
      <c r="N72" s="390">
        <v>0.88</v>
      </c>
      <c r="O72" s="353" t="e">
        <f t="shared" si="0"/>
        <v>#DIV/0!</v>
      </c>
      <c r="P72" s="36">
        <f t="shared" si="1"/>
        <v>100</v>
      </c>
      <c r="Q72" s="368"/>
      <c r="R72" s="295"/>
    </row>
    <row r="73" spans="1:18" ht="44.25" hidden="1" customHeight="1" x14ac:dyDescent="0.2">
      <c r="A73" s="21" t="s">
        <v>65</v>
      </c>
      <c r="B73" s="162">
        <v>26.2</v>
      </c>
      <c r="C73" s="162"/>
      <c r="D73" s="162"/>
      <c r="E73" s="162"/>
      <c r="F73" s="162"/>
      <c r="G73" s="162"/>
      <c r="H73" s="385">
        <v>31.46</v>
      </c>
      <c r="I73" s="385"/>
      <c r="J73" s="385"/>
      <c r="K73" s="385"/>
      <c r="L73" s="386">
        <v>40909</v>
      </c>
      <c r="M73" s="386"/>
      <c r="N73" s="162">
        <v>25.17</v>
      </c>
      <c r="O73" s="353" t="e">
        <f t="shared" si="0"/>
        <v>#DIV/0!</v>
      </c>
      <c r="P73" s="36">
        <f t="shared" si="1"/>
        <v>96.068702290076345</v>
      </c>
      <c r="Q73" s="368"/>
      <c r="R73" s="295"/>
    </row>
    <row r="74" spans="1:18" ht="61.9" hidden="1" customHeight="1" x14ac:dyDescent="0.2">
      <c r="A74" s="20" t="s">
        <v>167</v>
      </c>
      <c r="B74" s="162"/>
      <c r="C74" s="387"/>
      <c r="D74" s="387"/>
      <c r="E74" s="387"/>
      <c r="F74" s="387"/>
      <c r="G74" s="387"/>
      <c r="H74" s="387"/>
      <c r="I74" s="387"/>
      <c r="J74" s="387"/>
      <c r="K74" s="387"/>
      <c r="L74" s="388"/>
      <c r="M74" s="388"/>
      <c r="N74" s="387"/>
      <c r="O74" s="353" t="e">
        <f t="shared" si="0"/>
        <v>#DIV/0!</v>
      </c>
      <c r="P74" s="36" t="e">
        <f t="shared" si="1"/>
        <v>#DIV/0!</v>
      </c>
    </row>
    <row r="75" spans="1:18" ht="37.700000000000003" hidden="1" customHeight="1" x14ac:dyDescent="0.2">
      <c r="A75" s="21" t="s">
        <v>60</v>
      </c>
      <c r="B75" s="390">
        <v>1.2889999999999999</v>
      </c>
      <c r="C75" s="390"/>
      <c r="D75" s="390"/>
      <c r="E75" s="390"/>
      <c r="F75" s="390"/>
      <c r="G75" s="390"/>
      <c r="H75" s="390">
        <v>0</v>
      </c>
      <c r="I75" s="390" t="s">
        <v>102</v>
      </c>
      <c r="J75" s="390">
        <v>0</v>
      </c>
      <c r="K75" s="390" t="s">
        <v>103</v>
      </c>
      <c r="L75" s="52">
        <v>41122</v>
      </c>
      <c r="M75" s="52"/>
      <c r="N75" s="390">
        <v>1.155</v>
      </c>
      <c r="O75" s="353" t="e">
        <f t="shared" si="0"/>
        <v>#DIV/0!</v>
      </c>
      <c r="P75" s="36">
        <f t="shared" si="1"/>
        <v>89.6043444530644</v>
      </c>
    </row>
    <row r="76" spans="1:18" ht="36.75" hidden="1" customHeight="1" x14ac:dyDescent="0.2">
      <c r="A76" s="21" t="s">
        <v>65</v>
      </c>
      <c r="B76" s="162">
        <v>6.157</v>
      </c>
      <c r="C76" s="162"/>
      <c r="D76" s="162"/>
      <c r="E76" s="162"/>
      <c r="F76" s="162"/>
      <c r="G76" s="162"/>
      <c r="H76" s="162">
        <v>0</v>
      </c>
      <c r="I76" s="162">
        <v>5.75</v>
      </c>
      <c r="J76" s="162">
        <v>0</v>
      </c>
      <c r="K76" s="162">
        <v>5.55</v>
      </c>
      <c r="L76" s="386">
        <v>40909</v>
      </c>
      <c r="M76" s="386"/>
      <c r="N76" s="162">
        <v>4.79</v>
      </c>
      <c r="O76" s="353" t="e">
        <f t="shared" si="0"/>
        <v>#DIV/0!</v>
      </c>
      <c r="P76" s="36">
        <f t="shared" si="1"/>
        <v>77.797628715283423</v>
      </c>
    </row>
    <row r="77" spans="1:18" ht="46.5" hidden="1" customHeight="1" x14ac:dyDescent="0.2">
      <c r="A77" s="20" t="s">
        <v>168</v>
      </c>
      <c r="B77" s="162"/>
      <c r="C77" s="387"/>
      <c r="D77" s="387"/>
      <c r="E77" s="387"/>
      <c r="F77" s="387"/>
      <c r="G77" s="387"/>
      <c r="H77" s="387"/>
      <c r="I77" s="387"/>
      <c r="J77" s="387"/>
      <c r="K77" s="387"/>
      <c r="L77" s="388"/>
      <c r="M77" s="388"/>
      <c r="N77" s="387"/>
      <c r="O77" s="353" t="e">
        <f t="shared" si="0"/>
        <v>#DIV/0!</v>
      </c>
      <c r="P77" s="36" t="e">
        <f t="shared" si="1"/>
        <v>#DIV/0!</v>
      </c>
    </row>
    <row r="78" spans="1:18" ht="31.5" hidden="1" customHeight="1" x14ac:dyDescent="0.2">
      <c r="A78" s="21" t="s">
        <v>60</v>
      </c>
      <c r="B78" s="137">
        <v>1.48</v>
      </c>
      <c r="C78" s="137"/>
      <c r="D78" s="137"/>
      <c r="E78" s="137"/>
      <c r="F78" s="137"/>
      <c r="G78" s="137"/>
      <c r="H78" s="137">
        <v>0</v>
      </c>
      <c r="I78" s="137" t="s">
        <v>106</v>
      </c>
      <c r="J78" s="137">
        <v>0</v>
      </c>
      <c r="K78" s="137" t="s">
        <v>107</v>
      </c>
      <c r="L78" s="121">
        <v>41518</v>
      </c>
      <c r="M78" s="121"/>
      <c r="N78" s="137">
        <v>1.34</v>
      </c>
      <c r="O78" s="353" t="e">
        <f t="shared" si="0"/>
        <v>#DIV/0!</v>
      </c>
      <c r="P78" s="36">
        <f t="shared" si="1"/>
        <v>90.540540540540547</v>
      </c>
    </row>
    <row r="79" spans="1:18" ht="27" hidden="1" customHeight="1" x14ac:dyDescent="0.2">
      <c r="A79" s="152" t="s">
        <v>222</v>
      </c>
      <c r="B79" s="391"/>
      <c r="C79" s="392"/>
      <c r="D79" s="392"/>
      <c r="E79" s="392"/>
      <c r="F79" s="392"/>
      <c r="G79" s="392"/>
      <c r="H79" s="392"/>
      <c r="I79" s="392"/>
      <c r="J79" s="392"/>
      <c r="K79" s="392"/>
      <c r="L79" s="393"/>
      <c r="M79" s="393"/>
      <c r="N79" s="392"/>
      <c r="O79" s="353"/>
      <c r="P79" s="36"/>
    </row>
    <row r="80" spans="1:18" ht="74.25" hidden="1" customHeight="1" x14ac:dyDescent="0.2">
      <c r="A80" s="352" t="s">
        <v>60</v>
      </c>
      <c r="B80" s="356">
        <f>'жилье мое'!B65</f>
        <v>1.6950000000000001</v>
      </c>
      <c r="C80" s="356">
        <f>'жилье мое'!C65</f>
        <v>0</v>
      </c>
      <c r="D80" s="356">
        <f>'жилье мое'!E65</f>
        <v>2.0746666666666669</v>
      </c>
      <c r="E80" s="356">
        <f>'жилье мое'!F65</f>
        <v>2.2270000000000003</v>
      </c>
      <c r="F80" s="356">
        <f>'жилье мое'!G65</f>
        <v>0.76300000000000001</v>
      </c>
      <c r="G80" s="356">
        <f>'жилье мое'!H65</f>
        <v>1.6516666666666666</v>
      </c>
      <c r="H80" s="356">
        <f>'жилье мое'!I65</f>
        <v>0</v>
      </c>
      <c r="I80" s="356">
        <f>'жилье мое'!J65</f>
        <v>2.0746666666666669</v>
      </c>
      <c r="J80" s="356">
        <f>'жилье мое'!K65</f>
        <v>1.4846666666666668</v>
      </c>
      <c r="K80" s="356">
        <f>'жилье мое'!L65</f>
        <v>0.50866666666666671</v>
      </c>
      <c r="L80" s="361">
        <v>42373</v>
      </c>
      <c r="M80" s="135" t="s">
        <v>212</v>
      </c>
      <c r="N80" s="163">
        <v>2.0270000000000001</v>
      </c>
      <c r="O80" s="353">
        <f t="shared" si="0"/>
        <v>122.72452068617558</v>
      </c>
      <c r="P80" s="36">
        <f>N80/B80*100</f>
        <v>119.58702064896755</v>
      </c>
    </row>
    <row r="81" spans="1:16" s="319" customFormat="1" ht="49.5" hidden="1" customHeight="1" x14ac:dyDescent="0.2">
      <c r="A81" s="394"/>
      <c r="B81" s="394"/>
      <c r="C81" s="394"/>
      <c r="D81" s="394"/>
      <c r="E81" s="394"/>
      <c r="F81" s="394"/>
      <c r="G81" s="394"/>
      <c r="H81" s="394"/>
      <c r="I81" s="332"/>
      <c r="L81" s="333"/>
      <c r="M81" s="333"/>
    </row>
    <row r="82" spans="1:16" s="319" customFormat="1" ht="30.75" customHeight="1" x14ac:dyDescent="0.2">
      <c r="A82" s="154" t="s">
        <v>222</v>
      </c>
      <c r="B82" s="395"/>
      <c r="C82" s="395"/>
      <c r="D82" s="395"/>
      <c r="E82" s="395"/>
      <c r="F82" s="396"/>
      <c r="G82" s="397"/>
      <c r="H82" s="396"/>
      <c r="I82" s="396"/>
      <c r="J82" s="397"/>
      <c r="K82" s="397"/>
      <c r="L82" s="398"/>
      <c r="M82" s="398"/>
      <c r="N82" s="397"/>
      <c r="O82" s="397"/>
      <c r="P82" s="397"/>
    </row>
    <row r="83" spans="1:16" s="319" customFormat="1" ht="67.5" customHeight="1" x14ac:dyDescent="0.2">
      <c r="A83" s="21" t="s">
        <v>453</v>
      </c>
      <c r="B83" s="399">
        <f>'жилье мое'!B65</f>
        <v>1.6950000000000001</v>
      </c>
      <c r="C83" s="378">
        <f>'жилье мое'!D65</f>
        <v>0</v>
      </c>
      <c r="D83" s="400">
        <f>'жилье мое'!E65</f>
        <v>2.0746666666666669</v>
      </c>
      <c r="E83" s="401">
        <f>'жилье мое'!F65</f>
        <v>2.2270000000000003</v>
      </c>
      <c r="F83" s="402">
        <f>'жилье мое'!G65</f>
        <v>0.76300000000000001</v>
      </c>
      <c r="G83" s="403">
        <f>'жилье мое'!H65</f>
        <v>1.6516666666666666</v>
      </c>
      <c r="H83" s="378">
        <f>'жилье мое'!I65</f>
        <v>0</v>
      </c>
      <c r="I83" s="400">
        <f>'жилье мое'!J65</f>
        <v>2.0746666666666669</v>
      </c>
      <c r="J83" s="401">
        <f>'жилье мое'!K65</f>
        <v>1.4846666666666668</v>
      </c>
      <c r="K83" s="402">
        <f>'жилье мое'!L65</f>
        <v>0.50866666666666671</v>
      </c>
      <c r="L83" s="383">
        <v>42186</v>
      </c>
      <c r="M83" s="363" t="s">
        <v>454</v>
      </c>
      <c r="N83" s="403">
        <f>'жилье мое'!O65</f>
        <v>1.7673333333333332</v>
      </c>
      <c r="O83" s="353">
        <f>'жилье мое'!P65</f>
        <v>107.00302724520685</v>
      </c>
      <c r="P83" s="210">
        <f>'жилье мое'!Q65</f>
        <v>104.26745329400195</v>
      </c>
    </row>
  </sheetData>
  <sheetProtection selectLockedCells="1" selectUnlockedCells="1"/>
  <mergeCells count="38">
    <mergeCell ref="Q71:R71"/>
    <mergeCell ref="C54:F54"/>
    <mergeCell ref="H54:K54"/>
    <mergeCell ref="C11:F11"/>
    <mergeCell ref="H11:K11"/>
    <mergeCell ref="C14:F14"/>
    <mergeCell ref="H14:K14"/>
    <mergeCell ref="C38:D38"/>
    <mergeCell ref="C39:D39"/>
    <mergeCell ref="H39:I39"/>
    <mergeCell ref="C37:D37"/>
    <mergeCell ref="H37:I37"/>
    <mergeCell ref="D23:F23"/>
    <mergeCell ref="I23:K23"/>
    <mergeCell ref="C26:F26"/>
    <mergeCell ref="H26:K26"/>
    <mergeCell ref="A81:H81"/>
    <mergeCell ref="C29:F29"/>
    <mergeCell ref="H29:K29"/>
    <mergeCell ref="C61:F61"/>
    <mergeCell ref="H61:K61"/>
    <mergeCell ref="C40:F40"/>
    <mergeCell ref="H40:K40"/>
    <mergeCell ref="H73:K73"/>
    <mergeCell ref="C70:F70"/>
    <mergeCell ref="H70:K70"/>
    <mergeCell ref="C57:F57"/>
    <mergeCell ref="H57:K57"/>
    <mergeCell ref="C60:D60"/>
    <mergeCell ref="H60:I60"/>
    <mergeCell ref="A2:P2"/>
    <mergeCell ref="A4:A5"/>
    <mergeCell ref="B4:B5"/>
    <mergeCell ref="C4:G4"/>
    <mergeCell ref="N4:N5"/>
    <mergeCell ref="O4:P4"/>
    <mergeCell ref="A3:P3"/>
    <mergeCell ref="H4:M4"/>
  </mergeCells>
  <phoneticPr fontId="12" type="noConversion"/>
  <conditionalFormatting sqref="B1:B3 B84:B1048576">
    <cfRule type="cellIs" dxfId="3" priority="3" stopIfTrue="1" operator="greaterThan">
      <formula>0</formula>
    </cfRule>
  </conditionalFormatting>
  <conditionalFormatting sqref="B4:B80 C33:D33 C80:K80">
    <cfRule type="cellIs" dxfId="2" priority="2" stopIfTrue="1" operator="greaterThan">
      <formula>0</formula>
    </cfRule>
  </conditionalFormatting>
  <conditionalFormatting sqref="B83">
    <cfRule type="cellIs" dxfId="1" priority="1" stopIfTrue="1" operator="greater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r:id="rId1"/>
  <headerFooter alignWithMargins="0"/>
  <rowBreaks count="1" manualBreakCount="1">
    <brk id="4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0"/>
  <sheetViews>
    <sheetView view="pageBreakPreview" zoomScale="55" zoomScaleNormal="37" zoomScaleSheetLayoutView="55" workbookViewId="0">
      <selection activeCell="C3" sqref="C3:H3"/>
    </sheetView>
  </sheetViews>
  <sheetFormatPr defaultColWidth="9.140625" defaultRowHeight="18" x14ac:dyDescent="0.2"/>
  <cols>
    <col min="1" max="1" width="40" style="11" customWidth="1"/>
    <col min="2" max="2" width="16.7109375" style="105" customWidth="1"/>
    <col min="3" max="3" width="16.7109375" style="105" hidden="1" customWidth="1"/>
    <col min="4" max="19" width="16.7109375" style="105" customWidth="1"/>
    <col min="20" max="27" width="12.5703125" style="107" customWidth="1"/>
    <col min="28" max="28" width="16.28515625" style="105" customWidth="1"/>
    <col min="29" max="29" width="25.5703125" style="107" customWidth="1"/>
    <col min="30" max="30" width="22.5703125" style="107" customWidth="1"/>
    <col min="31" max="31" width="16.28515625" style="107" customWidth="1"/>
    <col min="32" max="32" width="23.42578125" style="108" customWidth="1"/>
    <col min="33" max="16384" width="9.140625" style="107"/>
  </cols>
  <sheetData>
    <row r="1" spans="1:45" s="66" customFormat="1" ht="15.6" customHeight="1" x14ac:dyDescent="0.2">
      <c r="A1" s="6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F1" s="67"/>
    </row>
    <row r="2" spans="1:45" s="1" customFormat="1" ht="48.75" customHeight="1" thickBot="1" x14ac:dyDescent="0.25">
      <c r="A2" s="278" t="s">
        <v>229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23"/>
    </row>
    <row r="3" spans="1:45" s="11" customFormat="1" ht="111" customHeight="1" x14ac:dyDescent="0.2">
      <c r="A3" s="271" t="s">
        <v>0</v>
      </c>
      <c r="B3" s="272" t="s">
        <v>47</v>
      </c>
      <c r="C3" s="273" t="s">
        <v>48</v>
      </c>
      <c r="D3" s="273"/>
      <c r="E3" s="273"/>
      <c r="F3" s="273"/>
      <c r="G3" s="273"/>
      <c r="H3" s="273"/>
      <c r="I3" s="275" t="s">
        <v>421</v>
      </c>
      <c r="J3" s="276"/>
      <c r="K3" s="276"/>
      <c r="L3" s="276"/>
      <c r="M3" s="276"/>
      <c r="N3" s="277"/>
      <c r="O3" s="272" t="s">
        <v>49</v>
      </c>
      <c r="P3" s="274" t="s">
        <v>50</v>
      </c>
      <c r="Q3" s="274"/>
      <c r="T3" s="287" t="s">
        <v>230</v>
      </c>
      <c r="U3" s="287"/>
      <c r="V3" s="287" t="s">
        <v>231</v>
      </c>
      <c r="W3" s="287"/>
      <c r="X3" s="287" t="s">
        <v>232</v>
      </c>
      <c r="Y3" s="287"/>
      <c r="Z3" s="287" t="s">
        <v>233</v>
      </c>
      <c r="AA3" s="287"/>
      <c r="AB3" s="288" t="s">
        <v>234</v>
      </c>
      <c r="AC3" s="288" t="s">
        <v>235</v>
      </c>
      <c r="AD3" s="288" t="s">
        <v>57</v>
      </c>
      <c r="AE3" s="289" t="s">
        <v>236</v>
      </c>
    </row>
    <row r="4" spans="1:45" s="11" customFormat="1" ht="160.5" customHeight="1" x14ac:dyDescent="0.2">
      <c r="A4" s="271"/>
      <c r="B4" s="272"/>
      <c r="C4" s="61" t="s">
        <v>51</v>
      </c>
      <c r="D4" s="61" t="s">
        <v>51</v>
      </c>
      <c r="E4" s="61" t="s">
        <v>52</v>
      </c>
      <c r="F4" s="61" t="s">
        <v>53</v>
      </c>
      <c r="G4" s="24" t="s">
        <v>54</v>
      </c>
      <c r="H4" s="61" t="s">
        <v>55</v>
      </c>
      <c r="I4" s="24" t="s">
        <v>51</v>
      </c>
      <c r="J4" s="24" t="s">
        <v>56</v>
      </c>
      <c r="K4" s="61" t="s">
        <v>53</v>
      </c>
      <c r="L4" s="61" t="s">
        <v>54</v>
      </c>
      <c r="M4" s="25" t="s">
        <v>57</v>
      </c>
      <c r="N4" s="25" t="s">
        <v>129</v>
      </c>
      <c r="O4" s="272"/>
      <c r="P4" s="61" t="s">
        <v>58</v>
      </c>
      <c r="Q4" s="61" t="s">
        <v>59</v>
      </c>
      <c r="T4" s="68" t="s">
        <v>237</v>
      </c>
      <c r="U4" s="68" t="s">
        <v>238</v>
      </c>
      <c r="V4" s="68" t="s">
        <v>237</v>
      </c>
      <c r="W4" s="68" t="s">
        <v>238</v>
      </c>
      <c r="X4" s="68" t="s">
        <v>237</v>
      </c>
      <c r="Y4" s="68" t="s">
        <v>238</v>
      </c>
      <c r="Z4" s="68" t="s">
        <v>237</v>
      </c>
      <c r="AA4" s="68" t="s">
        <v>238</v>
      </c>
      <c r="AB4" s="288"/>
      <c r="AC4" s="288"/>
      <c r="AD4" s="288" t="s">
        <v>57</v>
      </c>
      <c r="AE4" s="289"/>
    </row>
    <row r="5" spans="1:45" s="5" customFormat="1" ht="14.25" customHeight="1" x14ac:dyDescent="0.2">
      <c r="A5" s="62">
        <v>1</v>
      </c>
      <c r="B5" s="26">
        <v>2</v>
      </c>
      <c r="C5" s="26">
        <v>3</v>
      </c>
      <c r="D5" s="26"/>
      <c r="E5" s="26">
        <v>4</v>
      </c>
      <c r="F5" s="26">
        <v>5</v>
      </c>
      <c r="G5" s="27">
        <v>6</v>
      </c>
      <c r="H5" s="27">
        <v>7</v>
      </c>
      <c r="I5" s="27">
        <v>8</v>
      </c>
      <c r="J5" s="27">
        <v>9</v>
      </c>
      <c r="K5" s="26">
        <v>10</v>
      </c>
      <c r="L5" s="26">
        <v>11</v>
      </c>
      <c r="M5" s="26">
        <v>12</v>
      </c>
      <c r="N5" s="26"/>
      <c r="O5" s="26">
        <v>13</v>
      </c>
      <c r="P5" s="26">
        <v>14</v>
      </c>
      <c r="Q5" s="26">
        <v>15</v>
      </c>
      <c r="T5" s="69">
        <v>2</v>
      </c>
      <c r="U5" s="69">
        <v>3</v>
      </c>
      <c r="V5" s="69">
        <v>4</v>
      </c>
      <c r="W5" s="69">
        <v>5</v>
      </c>
      <c r="X5" s="69">
        <v>6</v>
      </c>
      <c r="Y5" s="69">
        <v>7</v>
      </c>
      <c r="Z5" s="69">
        <v>8</v>
      </c>
      <c r="AA5" s="69">
        <v>9</v>
      </c>
      <c r="AB5" s="69">
        <v>12</v>
      </c>
      <c r="AC5" s="69">
        <v>13</v>
      </c>
      <c r="AD5" s="69">
        <v>14</v>
      </c>
      <c r="AE5" s="69">
        <v>15</v>
      </c>
    </row>
    <row r="6" spans="1:45" s="76" customFormat="1" ht="33.950000000000003" hidden="1" customHeight="1" x14ac:dyDescent="0.2">
      <c r="A6" s="70" t="s">
        <v>239</v>
      </c>
      <c r="B6" s="71">
        <v>1.07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2" t="s">
        <v>240</v>
      </c>
      <c r="U6" s="72" t="s">
        <v>240</v>
      </c>
      <c r="V6" s="72" t="s">
        <v>240</v>
      </c>
      <c r="W6" s="72" t="s">
        <v>240</v>
      </c>
      <c r="X6" s="72" t="s">
        <v>240</v>
      </c>
      <c r="Y6" s="72" t="s">
        <v>240</v>
      </c>
      <c r="Z6" s="72" t="s">
        <v>240</v>
      </c>
      <c r="AA6" s="72" t="s">
        <v>240</v>
      </c>
      <c r="AB6" s="71">
        <v>1.04</v>
      </c>
      <c r="AC6" s="71" t="s">
        <v>241</v>
      </c>
      <c r="AD6" s="73">
        <v>41487</v>
      </c>
      <c r="AE6" s="74">
        <f>AB6/B6*100</f>
        <v>97.196261682242991</v>
      </c>
      <c r="AF6" s="7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s="1" customFormat="1" ht="36.75" hidden="1" customHeight="1" x14ac:dyDescent="0.25">
      <c r="A7" s="77" t="s">
        <v>242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>
        <v>1.94</v>
      </c>
      <c r="U7" s="60">
        <v>1.94</v>
      </c>
      <c r="V7" s="60">
        <v>1.22</v>
      </c>
      <c r="W7" s="60">
        <v>1.22</v>
      </c>
      <c r="X7" s="60">
        <v>0</v>
      </c>
      <c r="Y7" s="60">
        <v>0</v>
      </c>
      <c r="Z7" s="60">
        <v>0.69</v>
      </c>
      <c r="AA7" s="60">
        <v>0.69</v>
      </c>
      <c r="AB7" s="60"/>
      <c r="AC7" s="60" t="s">
        <v>243</v>
      </c>
      <c r="AD7" s="55">
        <v>40725</v>
      </c>
      <c r="AE7" s="78" t="e">
        <f t="shared" ref="AE7:AE66" si="0">AB7/B7*100</f>
        <v>#DIV/0!</v>
      </c>
      <c r="AF7" s="23"/>
    </row>
    <row r="8" spans="1:45" s="82" customFormat="1" ht="35.25" hidden="1" customHeight="1" x14ac:dyDescent="0.2">
      <c r="A8" s="79" t="s">
        <v>244</v>
      </c>
      <c r="B8" s="80">
        <v>1.5369999999999999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>
        <v>2</v>
      </c>
      <c r="U8" s="80">
        <v>2.62</v>
      </c>
      <c r="V8" s="80">
        <v>1.86</v>
      </c>
      <c r="W8" s="80">
        <v>1.98</v>
      </c>
      <c r="X8" s="80">
        <v>0.01</v>
      </c>
      <c r="Y8" s="80">
        <v>0.38</v>
      </c>
      <c r="Z8" s="80">
        <v>0</v>
      </c>
      <c r="AA8" s="80">
        <v>0</v>
      </c>
      <c r="AB8" s="80">
        <v>1.59</v>
      </c>
      <c r="AC8" s="80" t="s">
        <v>245</v>
      </c>
      <c r="AD8" s="81">
        <v>40639</v>
      </c>
      <c r="AE8" s="74">
        <f t="shared" si="0"/>
        <v>103.44827586206897</v>
      </c>
      <c r="AF8" s="23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s="1" customFormat="1" ht="35.25" hidden="1" customHeight="1" x14ac:dyDescent="0.2">
      <c r="A9" s="83" t="s">
        <v>246</v>
      </c>
      <c r="B9" s="84">
        <v>4.37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18">
        <v>2</v>
      </c>
      <c r="U9" s="60">
        <v>2.62</v>
      </c>
      <c r="V9" s="60">
        <v>1.86</v>
      </c>
      <c r="W9" s="60">
        <v>1.98</v>
      </c>
      <c r="X9" s="60">
        <v>0.01</v>
      </c>
      <c r="Y9" s="60">
        <v>0.38</v>
      </c>
      <c r="Z9" s="60">
        <v>0</v>
      </c>
      <c r="AA9" s="60">
        <v>0</v>
      </c>
      <c r="AB9" s="84"/>
      <c r="AC9" s="60" t="s">
        <v>247</v>
      </c>
      <c r="AD9" s="55">
        <v>40639</v>
      </c>
      <c r="AE9" s="78">
        <f t="shared" si="0"/>
        <v>0</v>
      </c>
      <c r="AF9" s="23"/>
    </row>
    <row r="10" spans="1:45" s="1" customFormat="1" ht="39.75" hidden="1" customHeight="1" x14ac:dyDescent="0.25">
      <c r="A10" s="85" t="s">
        <v>248</v>
      </c>
      <c r="B10" s="60">
        <v>4.2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281">
        <v>4.17</v>
      </c>
      <c r="U10" s="281"/>
      <c r="V10" s="281"/>
      <c r="W10" s="281"/>
      <c r="X10" s="281"/>
      <c r="Y10" s="281"/>
      <c r="Z10" s="60">
        <v>0</v>
      </c>
      <c r="AA10" s="60">
        <v>0</v>
      </c>
      <c r="AB10" s="60">
        <v>3.48</v>
      </c>
      <c r="AC10" s="60" t="s">
        <v>249</v>
      </c>
      <c r="AD10" s="55">
        <v>41279</v>
      </c>
      <c r="AE10" s="78">
        <f t="shared" si="0"/>
        <v>82.857142857142847</v>
      </c>
      <c r="AF10" s="23"/>
    </row>
    <row r="11" spans="1:45" s="82" customFormat="1" ht="61.9" hidden="1" customHeight="1" x14ac:dyDescent="0.2">
      <c r="A11" s="79" t="s">
        <v>250</v>
      </c>
      <c r="B11" s="80">
        <v>1.33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>
        <v>1.43</v>
      </c>
      <c r="U11" s="80">
        <v>2.21</v>
      </c>
      <c r="V11" s="80">
        <v>0.86</v>
      </c>
      <c r="W11" s="80">
        <v>1.8</v>
      </c>
      <c r="X11" s="80">
        <v>0.77</v>
      </c>
      <c r="Y11" s="80">
        <v>2.08</v>
      </c>
      <c r="Z11" s="80">
        <v>0.53</v>
      </c>
      <c r="AA11" s="80">
        <v>1.31</v>
      </c>
      <c r="AB11" s="80">
        <v>1.1200000000000001</v>
      </c>
      <c r="AC11" s="80" t="s">
        <v>251</v>
      </c>
      <c r="AD11" s="81">
        <v>41456</v>
      </c>
      <c r="AE11" s="74">
        <f t="shared" si="0"/>
        <v>84.21052631578948</v>
      </c>
      <c r="AF11" s="23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s="1" customFormat="1" ht="36" hidden="1" x14ac:dyDescent="0.25">
      <c r="A12" s="77" t="s">
        <v>252</v>
      </c>
      <c r="B12" s="60">
        <v>1.29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>
        <v>0</v>
      </c>
      <c r="U12" s="60">
        <v>0</v>
      </c>
      <c r="V12" s="60">
        <v>1.1000000000000001</v>
      </c>
      <c r="W12" s="60">
        <v>1.1299999999999999</v>
      </c>
      <c r="X12" s="60">
        <v>0.85</v>
      </c>
      <c r="Y12" s="60">
        <v>1.1299999999999999</v>
      </c>
      <c r="Z12" s="60">
        <v>0.67</v>
      </c>
      <c r="AA12" s="60">
        <v>0.48</v>
      </c>
      <c r="AB12" s="60">
        <v>0.8</v>
      </c>
      <c r="AC12" s="60" t="s">
        <v>253</v>
      </c>
      <c r="AD12" s="55">
        <v>41456</v>
      </c>
      <c r="AE12" s="78">
        <f t="shared" si="0"/>
        <v>62.015503875968989</v>
      </c>
      <c r="AF12" s="23"/>
    </row>
    <row r="13" spans="1:45" s="1" customFormat="1" ht="36" hidden="1" x14ac:dyDescent="0.25">
      <c r="A13" s="77" t="s">
        <v>254</v>
      </c>
      <c r="B13" s="60">
        <v>1.51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>
        <v>2.1</v>
      </c>
      <c r="U13" s="60">
        <v>2.17</v>
      </c>
      <c r="V13" s="60">
        <v>1.3</v>
      </c>
      <c r="W13" s="60">
        <v>1.77</v>
      </c>
      <c r="X13" s="60">
        <v>0</v>
      </c>
      <c r="Y13" s="60">
        <v>0</v>
      </c>
      <c r="Z13" s="60">
        <v>0</v>
      </c>
      <c r="AA13" s="60">
        <v>0</v>
      </c>
      <c r="AB13" s="60">
        <v>1.26</v>
      </c>
      <c r="AC13" s="60" t="s">
        <v>255</v>
      </c>
      <c r="AD13" s="55">
        <v>41456</v>
      </c>
      <c r="AE13" s="78">
        <f t="shared" si="0"/>
        <v>83.443708609271525</v>
      </c>
      <c r="AF13" s="23"/>
    </row>
    <row r="14" spans="1:45" s="1" customFormat="1" ht="36" hidden="1" x14ac:dyDescent="0.25">
      <c r="A14" s="77" t="s">
        <v>256</v>
      </c>
      <c r="B14" s="60">
        <v>1.31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>
        <v>1.43</v>
      </c>
      <c r="U14" s="60">
        <v>2.21</v>
      </c>
      <c r="V14" s="60">
        <v>0.86</v>
      </c>
      <c r="W14" s="60">
        <v>1.8</v>
      </c>
      <c r="X14" s="60">
        <v>0.77</v>
      </c>
      <c r="Y14" s="60">
        <v>2.08</v>
      </c>
      <c r="Z14" s="60">
        <v>0.53</v>
      </c>
      <c r="AA14" s="60">
        <v>1.31</v>
      </c>
      <c r="AB14" s="60">
        <v>1.1200000000000001</v>
      </c>
      <c r="AC14" s="60" t="s">
        <v>255</v>
      </c>
      <c r="AD14" s="55">
        <v>41456</v>
      </c>
      <c r="AE14" s="78">
        <f t="shared" si="0"/>
        <v>85.496183206106878</v>
      </c>
      <c r="AF14" s="23"/>
    </row>
    <row r="15" spans="1:45" s="1" customFormat="1" ht="36" hidden="1" x14ac:dyDescent="0.25">
      <c r="A15" s="77" t="s">
        <v>257</v>
      </c>
      <c r="B15" s="60">
        <v>1.01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>
        <v>0</v>
      </c>
      <c r="U15" s="60">
        <v>0</v>
      </c>
      <c r="V15" s="60">
        <v>1.21</v>
      </c>
      <c r="W15" s="60">
        <v>1.27</v>
      </c>
      <c r="X15" s="60">
        <v>1.21</v>
      </c>
      <c r="Y15" s="60">
        <v>1.37</v>
      </c>
      <c r="Z15" s="60">
        <v>0.59</v>
      </c>
      <c r="AA15" s="60">
        <v>0.74</v>
      </c>
      <c r="AB15" s="60">
        <v>0.89</v>
      </c>
      <c r="AC15" s="60" t="s">
        <v>253</v>
      </c>
      <c r="AD15" s="55">
        <v>41456</v>
      </c>
      <c r="AE15" s="78">
        <f t="shared" si="0"/>
        <v>88.118811881188122</v>
      </c>
      <c r="AF15" s="23"/>
    </row>
    <row r="16" spans="1:45" s="1" customFormat="1" ht="39.75" hidden="1" customHeight="1" x14ac:dyDescent="0.25">
      <c r="A16" s="85" t="s">
        <v>258</v>
      </c>
      <c r="B16" s="60">
        <v>8.1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281">
        <v>8.19</v>
      </c>
      <c r="U16" s="281"/>
      <c r="V16" s="281"/>
      <c r="W16" s="281"/>
      <c r="X16" s="281"/>
      <c r="Y16" s="281"/>
      <c r="Z16" s="281"/>
      <c r="AA16" s="281"/>
      <c r="AB16" s="86">
        <v>6.83</v>
      </c>
      <c r="AC16" s="60" t="s">
        <v>259</v>
      </c>
      <c r="AD16" s="55">
        <v>40909</v>
      </c>
      <c r="AE16" s="78">
        <f t="shared" si="0"/>
        <v>84.320987654320987</v>
      </c>
      <c r="AF16" s="23"/>
    </row>
    <row r="17" spans="1:45" s="82" customFormat="1" ht="113.45" hidden="1" customHeight="1" x14ac:dyDescent="0.2">
      <c r="A17" s="79" t="s">
        <v>260</v>
      </c>
      <c r="B17" s="80">
        <v>0.82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>
        <v>1.1499999999999999</v>
      </c>
      <c r="U17" s="80">
        <v>1.9550000000000001</v>
      </c>
      <c r="V17" s="80">
        <v>0.64800000000000002</v>
      </c>
      <c r="W17" s="80">
        <v>1.3029999999999999</v>
      </c>
      <c r="X17" s="80">
        <v>0.10199999999999999</v>
      </c>
      <c r="Y17" s="80">
        <v>1.298</v>
      </c>
      <c r="Z17" s="80">
        <v>0.36</v>
      </c>
      <c r="AA17" s="80">
        <v>0.36</v>
      </c>
      <c r="AB17" s="87">
        <v>0.81</v>
      </c>
      <c r="AC17" s="80" t="s">
        <v>261</v>
      </c>
      <c r="AD17" s="81" t="s">
        <v>262</v>
      </c>
      <c r="AE17" s="74">
        <f t="shared" si="0"/>
        <v>98.780487804878064</v>
      </c>
      <c r="AF17" s="88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s="1" customFormat="1" ht="57.75" hidden="1" customHeight="1" x14ac:dyDescent="0.25">
      <c r="A18" s="85" t="s">
        <v>263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60">
        <v>0.755</v>
      </c>
      <c r="U18" s="60">
        <v>1.85</v>
      </c>
      <c r="V18" s="60">
        <v>0.60199999999999998</v>
      </c>
      <c r="W18" s="60">
        <v>1.661</v>
      </c>
      <c r="X18" s="60">
        <v>0.30199999999999999</v>
      </c>
      <c r="Y18" s="60">
        <v>1.03</v>
      </c>
      <c r="Z18" s="60">
        <v>2E-3</v>
      </c>
      <c r="AA18" s="60">
        <v>0.29899999999999999</v>
      </c>
      <c r="AB18" s="84"/>
      <c r="AC18" s="60" t="s">
        <v>264</v>
      </c>
      <c r="AD18" s="55">
        <v>40684</v>
      </c>
      <c r="AE18" s="74" t="e">
        <f t="shared" si="0"/>
        <v>#DIV/0!</v>
      </c>
      <c r="AF18" s="23"/>
    </row>
    <row r="19" spans="1:45" s="1" customFormat="1" ht="42.75" hidden="1" customHeight="1" x14ac:dyDescent="0.25">
      <c r="A19" s="85" t="s">
        <v>265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60">
        <v>0</v>
      </c>
      <c r="U19" s="60">
        <v>0</v>
      </c>
      <c r="V19" s="60">
        <v>0.69</v>
      </c>
      <c r="W19" s="60">
        <v>0.69</v>
      </c>
      <c r="X19" s="60">
        <v>0.3</v>
      </c>
      <c r="Y19" s="60">
        <v>0.3</v>
      </c>
      <c r="Z19" s="60">
        <v>0.3</v>
      </c>
      <c r="AA19" s="60">
        <v>0.36</v>
      </c>
      <c r="AB19" s="84"/>
      <c r="AC19" s="60" t="s">
        <v>266</v>
      </c>
      <c r="AD19" s="55">
        <v>40711</v>
      </c>
      <c r="AE19" s="74" t="e">
        <f t="shared" si="0"/>
        <v>#DIV/0!</v>
      </c>
      <c r="AF19" s="23"/>
    </row>
    <row r="20" spans="1:45" s="1" customFormat="1" ht="39.75" hidden="1" customHeight="1" x14ac:dyDescent="0.25">
      <c r="A20" s="85" t="s">
        <v>267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60">
        <v>0</v>
      </c>
      <c r="U20" s="60">
        <v>0</v>
      </c>
      <c r="V20" s="60">
        <v>0</v>
      </c>
      <c r="W20" s="60">
        <v>0</v>
      </c>
      <c r="X20" s="60">
        <v>0.106</v>
      </c>
      <c r="Y20" s="60">
        <v>0.95599999999999996</v>
      </c>
      <c r="Z20" s="60">
        <v>0</v>
      </c>
      <c r="AA20" s="60">
        <v>0</v>
      </c>
      <c r="AB20" s="84"/>
      <c r="AC20" s="60" t="s">
        <v>268</v>
      </c>
      <c r="AD20" s="55">
        <v>40649</v>
      </c>
      <c r="AE20" s="74" t="e">
        <f t="shared" si="0"/>
        <v>#DIV/0!</v>
      </c>
      <c r="AF20" s="23"/>
    </row>
    <row r="21" spans="1:45" s="1" customFormat="1" ht="39.75" hidden="1" customHeight="1" x14ac:dyDescent="0.25">
      <c r="A21" s="85" t="s">
        <v>269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60">
        <v>0</v>
      </c>
      <c r="U21" s="60">
        <v>0</v>
      </c>
      <c r="V21" s="60">
        <v>0.59199999999999997</v>
      </c>
      <c r="W21" s="60">
        <v>0.60499999999999998</v>
      </c>
      <c r="X21" s="60">
        <v>0.40899999999999997</v>
      </c>
      <c r="Y21" s="60">
        <v>0.878</v>
      </c>
      <c r="Z21" s="60">
        <v>0</v>
      </c>
      <c r="AA21" s="60">
        <v>0</v>
      </c>
      <c r="AB21" s="84"/>
      <c r="AC21" s="60" t="s">
        <v>270</v>
      </c>
      <c r="AD21" s="55">
        <v>40649</v>
      </c>
      <c r="AE21" s="74" t="e">
        <f t="shared" si="0"/>
        <v>#DIV/0!</v>
      </c>
      <c r="AF21" s="23"/>
    </row>
    <row r="22" spans="1:45" s="1" customFormat="1" ht="39.75" hidden="1" customHeight="1" x14ac:dyDescent="0.25">
      <c r="A22" s="85" t="s">
        <v>271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60">
        <v>0</v>
      </c>
      <c r="U22" s="60">
        <v>0</v>
      </c>
      <c r="V22" s="60">
        <v>0.8</v>
      </c>
      <c r="W22" s="60">
        <v>0.8</v>
      </c>
      <c r="X22" s="60">
        <v>0.4</v>
      </c>
      <c r="Y22" s="60">
        <v>0.96</v>
      </c>
      <c r="Z22" s="60">
        <v>0</v>
      </c>
      <c r="AA22" s="60">
        <v>0</v>
      </c>
      <c r="AB22" s="84"/>
      <c r="AC22" s="60" t="s">
        <v>272</v>
      </c>
      <c r="AD22" s="55">
        <v>40649</v>
      </c>
      <c r="AE22" s="74" t="e">
        <f t="shared" si="0"/>
        <v>#DIV/0!</v>
      </c>
      <c r="AF22" s="23"/>
    </row>
    <row r="23" spans="1:45" s="1" customFormat="1" ht="36.75" hidden="1" customHeight="1" x14ac:dyDescent="0.25">
      <c r="A23" s="85" t="s">
        <v>273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60">
        <v>0</v>
      </c>
      <c r="U23" s="60">
        <v>0</v>
      </c>
      <c r="V23" s="60">
        <v>0</v>
      </c>
      <c r="W23" s="60">
        <v>0</v>
      </c>
      <c r="X23" s="60">
        <v>0.48599999999999999</v>
      </c>
      <c r="Y23" s="60">
        <v>0.82399999999999995</v>
      </c>
      <c r="Z23" s="60">
        <v>0</v>
      </c>
      <c r="AA23" s="60">
        <v>0</v>
      </c>
      <c r="AB23" s="84"/>
      <c r="AC23" s="60" t="s">
        <v>274</v>
      </c>
      <c r="AD23" s="55">
        <v>40649</v>
      </c>
      <c r="AE23" s="74" t="e">
        <f t="shared" si="0"/>
        <v>#DIV/0!</v>
      </c>
      <c r="AF23" s="23"/>
    </row>
    <row r="24" spans="1:45" s="82" customFormat="1" ht="36.75" hidden="1" customHeight="1" x14ac:dyDescent="0.2">
      <c r="A24" s="79" t="s">
        <v>275</v>
      </c>
      <c r="B24" s="90">
        <f>(B25+B26+B27)/3</f>
        <v>2.0533333333333332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>
        <v>2.4700000000000002</v>
      </c>
      <c r="U24" s="90">
        <v>2.56</v>
      </c>
      <c r="V24" s="90">
        <v>1.79</v>
      </c>
      <c r="W24" s="90">
        <v>1.895</v>
      </c>
      <c r="X24" s="90">
        <v>1.139</v>
      </c>
      <c r="Y24" s="90">
        <v>1.87</v>
      </c>
      <c r="Z24" s="90">
        <v>0.80600000000000005</v>
      </c>
      <c r="AA24" s="90">
        <v>0.80600000000000005</v>
      </c>
      <c r="AB24" s="90">
        <f>(AB25+AB26+AB27)/3</f>
        <v>1.8766666666666663</v>
      </c>
      <c r="AC24" s="80" t="s">
        <v>276</v>
      </c>
      <c r="AD24" s="81">
        <v>41001</v>
      </c>
      <c r="AE24" s="74">
        <f t="shared" si="0"/>
        <v>91.396103896103881</v>
      </c>
      <c r="AF24" s="9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s="1" customFormat="1" ht="36.75" hidden="1" customHeight="1" x14ac:dyDescent="0.2">
      <c r="A25" s="83" t="s">
        <v>277</v>
      </c>
      <c r="B25" s="63">
        <v>1.39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0">
        <v>2.56</v>
      </c>
      <c r="U25" s="60">
        <v>2.56</v>
      </c>
      <c r="V25" s="60">
        <v>1.895</v>
      </c>
      <c r="W25" s="60">
        <v>1.895</v>
      </c>
      <c r="X25" s="60">
        <v>1.139</v>
      </c>
      <c r="Y25" s="60">
        <v>1.87</v>
      </c>
      <c r="Z25" s="60">
        <v>0.80600000000000005</v>
      </c>
      <c r="AA25" s="60">
        <v>0.80600000000000005</v>
      </c>
      <c r="AB25" s="60">
        <v>1.39</v>
      </c>
      <c r="AC25" s="60" t="s">
        <v>276</v>
      </c>
      <c r="AD25" s="55">
        <v>41001</v>
      </c>
      <c r="AE25" s="78">
        <f t="shared" si="0"/>
        <v>100</v>
      </c>
      <c r="AF25" s="23"/>
    </row>
    <row r="26" spans="1:45" s="1" customFormat="1" ht="36.75" hidden="1" customHeight="1" x14ac:dyDescent="0.2">
      <c r="A26" s="83" t="s">
        <v>278</v>
      </c>
      <c r="B26" s="63">
        <v>2.2799999999999998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0">
        <v>2.4700000000000002</v>
      </c>
      <c r="U26" s="60">
        <v>2.4700000000000002</v>
      </c>
      <c r="V26" s="60">
        <v>1.79</v>
      </c>
      <c r="W26" s="60">
        <v>1.79</v>
      </c>
      <c r="X26" s="60">
        <v>0</v>
      </c>
      <c r="Y26" s="60">
        <v>0</v>
      </c>
      <c r="Z26" s="60">
        <v>0</v>
      </c>
      <c r="AA26" s="60">
        <v>0</v>
      </c>
      <c r="AB26" s="60">
        <v>2.0499999999999998</v>
      </c>
      <c r="AC26" s="60" t="s">
        <v>276</v>
      </c>
      <c r="AD26" s="55">
        <v>41001</v>
      </c>
      <c r="AE26" s="78">
        <f t="shared" si="0"/>
        <v>89.912280701754383</v>
      </c>
      <c r="AF26" s="23"/>
    </row>
    <row r="27" spans="1:45" s="1" customFormat="1" ht="36.75" hidden="1" customHeight="1" x14ac:dyDescent="0.2">
      <c r="A27" s="83" t="s">
        <v>279</v>
      </c>
      <c r="B27" s="63">
        <v>2.4900000000000002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0">
        <v>2.5</v>
      </c>
      <c r="U27" s="60">
        <v>2.5</v>
      </c>
      <c r="V27" s="60">
        <v>1.9</v>
      </c>
      <c r="W27" s="60">
        <v>1.9</v>
      </c>
      <c r="X27" s="60">
        <v>0</v>
      </c>
      <c r="Y27" s="60">
        <v>0</v>
      </c>
      <c r="Z27" s="60">
        <v>0</v>
      </c>
      <c r="AA27" s="60">
        <v>0</v>
      </c>
      <c r="AB27" s="60">
        <v>2.19</v>
      </c>
      <c r="AC27" s="60" t="s">
        <v>276</v>
      </c>
      <c r="AD27" s="55">
        <v>41001</v>
      </c>
      <c r="AE27" s="78">
        <f t="shared" si="0"/>
        <v>87.951807228915655</v>
      </c>
      <c r="AF27" s="23"/>
    </row>
    <row r="28" spans="1:45" s="82" customFormat="1" ht="36.75" hidden="1" customHeight="1" x14ac:dyDescent="0.2">
      <c r="A28" s="79" t="s">
        <v>280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3"/>
      <c r="AG28" s="1"/>
      <c r="AH28" s="1" t="s">
        <v>25</v>
      </c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s="1" customFormat="1" ht="36.75" hidden="1" customHeight="1" x14ac:dyDescent="0.2">
      <c r="A29" s="83" t="s">
        <v>281</v>
      </c>
      <c r="B29" s="60">
        <v>0.86099999999999999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>
        <v>2.0099999999999998</v>
      </c>
      <c r="U29" s="60">
        <v>2.39</v>
      </c>
      <c r="V29" s="60">
        <v>1.224</v>
      </c>
      <c r="W29" s="60">
        <v>1.3240000000000001</v>
      </c>
      <c r="X29" s="60">
        <v>0.34899999999999998</v>
      </c>
      <c r="Y29" s="60">
        <v>1.361</v>
      </c>
      <c r="Z29" s="60">
        <v>0</v>
      </c>
      <c r="AA29" s="60">
        <v>0</v>
      </c>
      <c r="AB29" s="60">
        <v>1.07</v>
      </c>
      <c r="AC29" s="60" t="s">
        <v>282</v>
      </c>
      <c r="AD29" s="55">
        <v>41395</v>
      </c>
      <c r="AE29" s="92">
        <f t="shared" si="0"/>
        <v>124.27409988385598</v>
      </c>
      <c r="AF29" s="23"/>
    </row>
    <row r="30" spans="1:45" s="1" customFormat="1" ht="36.75" hidden="1" customHeight="1" x14ac:dyDescent="0.2">
      <c r="A30" s="21" t="s">
        <v>118</v>
      </c>
      <c r="B30" s="60">
        <v>0.45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>
        <v>0</v>
      </c>
      <c r="U30" s="60">
        <v>0</v>
      </c>
      <c r="V30" s="60">
        <v>0.66</v>
      </c>
      <c r="W30" s="60">
        <v>0.66</v>
      </c>
      <c r="X30" s="60">
        <v>0.54</v>
      </c>
      <c r="Y30" s="60">
        <v>0.54</v>
      </c>
      <c r="Z30" s="60">
        <v>0.42</v>
      </c>
      <c r="AA30" s="60">
        <v>0.42</v>
      </c>
      <c r="AB30" s="60">
        <v>0.45</v>
      </c>
      <c r="AC30" s="60" t="s">
        <v>283</v>
      </c>
      <c r="AD30" s="55">
        <v>41821</v>
      </c>
      <c r="AE30" s="78">
        <f t="shared" si="0"/>
        <v>100</v>
      </c>
      <c r="AF30" s="23"/>
    </row>
    <row r="31" spans="1:45" s="1" customFormat="1" ht="36.75" hidden="1" customHeight="1" x14ac:dyDescent="0.2">
      <c r="A31" s="83" t="s">
        <v>81</v>
      </c>
      <c r="B31" s="60">
        <v>0.76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>
        <v>0</v>
      </c>
      <c r="U31" s="60">
        <v>0</v>
      </c>
      <c r="V31" s="60">
        <v>1.35</v>
      </c>
      <c r="W31" s="60">
        <v>1.66</v>
      </c>
      <c r="X31" s="60">
        <v>1.4</v>
      </c>
      <c r="Y31" s="60">
        <v>1.4</v>
      </c>
      <c r="Z31" s="60">
        <v>0.33</v>
      </c>
      <c r="AA31" s="60">
        <v>0.33</v>
      </c>
      <c r="AB31" s="60">
        <v>0.99</v>
      </c>
      <c r="AC31" s="60" t="s">
        <v>284</v>
      </c>
      <c r="AD31" s="55">
        <v>40909</v>
      </c>
      <c r="AE31" s="92">
        <f t="shared" si="0"/>
        <v>130.26315789473685</v>
      </c>
      <c r="AF31" s="23"/>
    </row>
    <row r="32" spans="1:45" s="1" customFormat="1" ht="36.75" hidden="1" customHeight="1" x14ac:dyDescent="0.2">
      <c r="A32" s="83" t="s">
        <v>285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55"/>
      <c r="AE32" s="78"/>
      <c r="AF32" s="23"/>
    </row>
    <row r="33" spans="1:45" s="1" customFormat="1" ht="36.75" hidden="1" customHeight="1" x14ac:dyDescent="0.25">
      <c r="A33" s="85" t="s">
        <v>286</v>
      </c>
      <c r="B33" s="60">
        <v>9.8000000000000007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>
        <v>0</v>
      </c>
      <c r="U33" s="60">
        <v>0</v>
      </c>
      <c r="V33" s="283">
        <v>11.76</v>
      </c>
      <c r="W33" s="283"/>
      <c r="X33" s="283"/>
      <c r="Y33" s="283"/>
      <c r="Z33" s="93">
        <v>0</v>
      </c>
      <c r="AA33" s="93">
        <v>0</v>
      </c>
      <c r="AB33" s="60">
        <v>9.8000000000000007</v>
      </c>
      <c r="AC33" s="60" t="s">
        <v>283</v>
      </c>
      <c r="AD33" s="55">
        <v>41821</v>
      </c>
      <c r="AE33" s="78">
        <f t="shared" si="0"/>
        <v>100</v>
      </c>
      <c r="AF33" s="23"/>
    </row>
    <row r="34" spans="1:45" s="82" customFormat="1" ht="67.5" hidden="1" customHeight="1" x14ac:dyDescent="0.2">
      <c r="A34" s="70" t="s">
        <v>287</v>
      </c>
      <c r="B34" s="80">
        <f>(B35+B36+B37+B38+B39)/5</f>
        <v>0.68599999999999994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>
        <v>0.68200000000000005</v>
      </c>
      <c r="U34" s="80">
        <v>0.79</v>
      </c>
      <c r="V34" s="80">
        <v>0.18</v>
      </c>
      <c r="W34" s="80">
        <v>0.79</v>
      </c>
      <c r="X34" s="80">
        <v>8.4000000000000005E-2</v>
      </c>
      <c r="Y34" s="80">
        <v>0.45400000000000001</v>
      </c>
      <c r="Z34" s="80">
        <v>0.02</v>
      </c>
      <c r="AA34" s="80">
        <v>0.156</v>
      </c>
      <c r="AB34" s="80">
        <f>(AB35+AB36+AB37+AB38+AB39)/5</f>
        <v>0.6522</v>
      </c>
      <c r="AC34" s="80" t="s">
        <v>288</v>
      </c>
      <c r="AD34" s="81" t="s">
        <v>289</v>
      </c>
      <c r="AE34" s="74">
        <f>AB34/B34*100</f>
        <v>95.072886297376101</v>
      </c>
      <c r="AF34" s="23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s="1" customFormat="1" ht="36.75" hidden="1" customHeight="1" x14ac:dyDescent="0.25">
      <c r="A35" s="77" t="s">
        <v>290</v>
      </c>
      <c r="B35" s="60">
        <v>0.6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>
        <v>0.68200000000000005</v>
      </c>
      <c r="U35" s="60">
        <v>0.79</v>
      </c>
      <c r="V35" s="60">
        <v>0.68200000000000005</v>
      </c>
      <c r="W35" s="60">
        <v>0.79</v>
      </c>
      <c r="X35" s="60">
        <v>8.4000000000000005E-2</v>
      </c>
      <c r="Y35" s="60">
        <v>0.45400000000000001</v>
      </c>
      <c r="Z35" s="60">
        <v>0.156</v>
      </c>
      <c r="AA35" s="60">
        <v>0.156</v>
      </c>
      <c r="AB35" s="60">
        <v>0.55100000000000005</v>
      </c>
      <c r="AC35" s="60" t="s">
        <v>291</v>
      </c>
      <c r="AD35" s="55">
        <v>41395</v>
      </c>
      <c r="AE35" s="78">
        <f t="shared" si="0"/>
        <v>91.833333333333343</v>
      </c>
      <c r="AF35" s="23"/>
    </row>
    <row r="36" spans="1:45" s="1" customFormat="1" ht="36.75" hidden="1" customHeight="1" x14ac:dyDescent="0.25">
      <c r="A36" s="77" t="s">
        <v>292</v>
      </c>
      <c r="B36" s="60">
        <v>0.85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>
        <v>0</v>
      </c>
      <c r="U36" s="60">
        <v>0</v>
      </c>
      <c r="V36" s="60">
        <v>0.79</v>
      </c>
      <c r="W36" s="60">
        <v>0.79</v>
      </c>
      <c r="X36" s="60"/>
      <c r="Y36" s="60"/>
      <c r="Z36" s="60"/>
      <c r="AA36" s="60"/>
      <c r="AB36" s="60">
        <v>0.66</v>
      </c>
      <c r="AC36" s="60" t="s">
        <v>293</v>
      </c>
      <c r="AD36" s="55">
        <v>39661</v>
      </c>
      <c r="AE36" s="78">
        <f t="shared" si="0"/>
        <v>77.64705882352942</v>
      </c>
      <c r="AF36" s="23"/>
    </row>
    <row r="37" spans="1:45" s="1" customFormat="1" ht="36.75" hidden="1" customHeight="1" x14ac:dyDescent="0.25">
      <c r="A37" s="77" t="s">
        <v>294</v>
      </c>
      <c r="B37" s="60">
        <v>0.62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>
        <v>0.76</v>
      </c>
      <c r="U37" s="60">
        <v>0.79</v>
      </c>
      <c r="V37" s="60">
        <v>0.18</v>
      </c>
      <c r="W37" s="60">
        <v>0.79</v>
      </c>
      <c r="X37" s="60"/>
      <c r="Y37" s="60"/>
      <c r="Z37" s="60">
        <v>0.02</v>
      </c>
      <c r="AA37" s="60">
        <v>0.02</v>
      </c>
      <c r="AB37" s="60">
        <v>0.76</v>
      </c>
      <c r="AC37" s="60" t="s">
        <v>295</v>
      </c>
      <c r="AD37" s="55">
        <v>41395</v>
      </c>
      <c r="AE37" s="78">
        <f t="shared" si="0"/>
        <v>122.58064516129032</v>
      </c>
      <c r="AF37" s="23"/>
    </row>
    <row r="38" spans="1:45" s="1" customFormat="1" ht="36.75" hidden="1" customHeight="1" x14ac:dyDescent="0.25">
      <c r="A38" s="77" t="s">
        <v>296</v>
      </c>
      <c r="B38" s="60">
        <v>0.69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>
        <v>0.79</v>
      </c>
      <c r="U38" s="60">
        <v>0.79</v>
      </c>
      <c r="V38" s="60">
        <v>0.67</v>
      </c>
      <c r="W38" s="60">
        <v>0.79</v>
      </c>
      <c r="X38" s="60"/>
      <c r="Y38" s="60"/>
      <c r="Z38" s="60">
        <v>0.02</v>
      </c>
      <c r="AA38" s="60">
        <v>0.02</v>
      </c>
      <c r="AB38" s="60">
        <v>0.77</v>
      </c>
      <c r="AC38" s="60" t="s">
        <v>297</v>
      </c>
      <c r="AD38" s="55">
        <v>41441</v>
      </c>
      <c r="AE38" s="78">
        <f t="shared" si="0"/>
        <v>111.59420289855073</v>
      </c>
      <c r="AF38" s="23"/>
    </row>
    <row r="39" spans="1:45" s="1" customFormat="1" ht="36.75" hidden="1" customHeight="1" x14ac:dyDescent="0.25">
      <c r="A39" s="77" t="s">
        <v>298</v>
      </c>
      <c r="B39" s="60">
        <v>0.67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>
        <v>0.56999999999999995</v>
      </c>
      <c r="U39" s="60">
        <v>0.56999999999999995</v>
      </c>
      <c r="V39" s="60">
        <v>0.56999999999999995</v>
      </c>
      <c r="W39" s="60">
        <v>0.56999999999999995</v>
      </c>
      <c r="X39" s="60">
        <v>0.09</v>
      </c>
      <c r="Y39" s="60">
        <v>0.09</v>
      </c>
      <c r="Z39" s="60">
        <v>0.08</v>
      </c>
      <c r="AA39" s="60">
        <v>0.08</v>
      </c>
      <c r="AB39" s="60">
        <v>0.52</v>
      </c>
      <c r="AC39" s="60"/>
      <c r="AD39" s="55">
        <v>40330</v>
      </c>
      <c r="AE39" s="78">
        <f t="shared" si="0"/>
        <v>77.611940298507463</v>
      </c>
      <c r="AF39" s="23"/>
    </row>
    <row r="40" spans="1:45" s="1" customFormat="1" ht="90" hidden="1" customHeight="1" x14ac:dyDescent="0.25">
      <c r="A40" s="77" t="s">
        <v>88</v>
      </c>
      <c r="B40" s="60">
        <v>0.67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281">
        <v>0.55000000000000004</v>
      </c>
      <c r="U40" s="281"/>
      <c r="V40" s="60">
        <v>0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0.55000000000000004</v>
      </c>
      <c r="AC40" s="60" t="s">
        <v>299</v>
      </c>
      <c r="AD40" s="55" t="s">
        <v>92</v>
      </c>
      <c r="AE40" s="78">
        <f t="shared" si="0"/>
        <v>82.089552238805979</v>
      </c>
      <c r="AF40" s="23"/>
    </row>
    <row r="41" spans="1:45" s="1" customFormat="1" ht="42.6" hidden="1" customHeight="1" x14ac:dyDescent="0.25">
      <c r="A41" s="85" t="s">
        <v>258</v>
      </c>
      <c r="B41" s="60">
        <v>35.57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281" t="s">
        <v>300</v>
      </c>
      <c r="U41" s="281"/>
      <c r="V41" s="281"/>
      <c r="W41" s="281"/>
      <c r="X41" s="281"/>
      <c r="Y41" s="281"/>
      <c r="Z41" s="281"/>
      <c r="AA41" s="281"/>
      <c r="AB41" s="60">
        <v>35.770000000000003</v>
      </c>
      <c r="AC41" s="60" t="s">
        <v>301</v>
      </c>
      <c r="AD41" s="55">
        <v>41334</v>
      </c>
      <c r="AE41" s="78">
        <f t="shared" si="0"/>
        <v>100.56227157717178</v>
      </c>
      <c r="AF41" s="23"/>
    </row>
    <row r="42" spans="1:45" s="43" customFormat="1" ht="36.75" customHeight="1" x14ac:dyDescent="0.2">
      <c r="A42" s="114" t="s">
        <v>83</v>
      </c>
      <c r="B42" s="109">
        <f>(B43+B44+B45+B46+B47)/5</f>
        <v>1.7759999999999998</v>
      </c>
      <c r="C42" s="109"/>
      <c r="D42" s="109" t="s">
        <v>169</v>
      </c>
      <c r="E42" s="109" t="s">
        <v>170</v>
      </c>
      <c r="F42" s="109" t="s">
        <v>171</v>
      </c>
      <c r="G42" s="109" t="s">
        <v>172</v>
      </c>
      <c r="H42" s="109">
        <f>(H43+H44+H45+H46+H47)/5</f>
        <v>2.6899000000000002</v>
      </c>
      <c r="I42" s="109" t="s">
        <v>423</v>
      </c>
      <c r="J42" s="109" t="s">
        <v>422</v>
      </c>
      <c r="K42" s="109" t="s">
        <v>424</v>
      </c>
      <c r="L42" s="109" t="s">
        <v>425</v>
      </c>
      <c r="M42" s="133">
        <v>43070</v>
      </c>
      <c r="N42" s="134" t="s">
        <v>415</v>
      </c>
      <c r="O42" s="109">
        <f>(O43+O44+O45+O46+O47)/5</f>
        <v>2.6899000000000002</v>
      </c>
      <c r="P42" s="110">
        <f>O42/H42*100</f>
        <v>100</v>
      </c>
      <c r="Q42" s="110">
        <f>O42/B42*100</f>
        <v>151.45833333333337</v>
      </c>
      <c r="R42" s="109"/>
      <c r="S42" s="109"/>
      <c r="T42" s="109">
        <f>(T43+T44+T45+T46+T47)/5</f>
        <v>1.3105</v>
      </c>
      <c r="U42" s="109">
        <f t="shared" ref="U42:AB42" si="1">(U43+U44+U45+U46+U47)/5</f>
        <v>2.21</v>
      </c>
      <c r="V42" s="109">
        <f t="shared" si="1"/>
        <v>0.87929999999999997</v>
      </c>
      <c r="W42" s="109">
        <f t="shared" si="1"/>
        <v>1.548</v>
      </c>
      <c r="X42" s="109">
        <f>(X43+X44+X45+X46+X47)/2</f>
        <v>0.69474999999999998</v>
      </c>
      <c r="Y42" s="109">
        <f>(Y43+Y44+Y45+Y46+Y47)/2</f>
        <v>0.69474999999999998</v>
      </c>
      <c r="Z42" s="109">
        <f t="shared" ref="Z42:AA42" si="2">(Z43+Z44+Z45+Z46+Z47)/2</f>
        <v>0.53200000000000003</v>
      </c>
      <c r="AA42" s="109">
        <f t="shared" si="2"/>
        <v>0.53200000000000003</v>
      </c>
      <c r="AB42" s="109">
        <f t="shared" si="1"/>
        <v>1.2358800000000001</v>
      </c>
      <c r="AC42" s="109"/>
      <c r="AD42" s="111">
        <v>41061</v>
      </c>
      <c r="AE42" s="112">
        <f>AB42/B42*100</f>
        <v>69.587837837837853</v>
      </c>
      <c r="AF42" s="113"/>
    </row>
    <row r="43" spans="1:45" s="155" customFormat="1" ht="36.75" customHeight="1" x14ac:dyDescent="0.25">
      <c r="A43" s="77" t="s">
        <v>440</v>
      </c>
      <c r="B43" s="157">
        <v>2.25</v>
      </c>
      <c r="C43" s="157"/>
      <c r="D43" s="157" t="s">
        <v>437</v>
      </c>
      <c r="E43" s="157" t="s">
        <v>458</v>
      </c>
      <c r="F43" s="157">
        <v>0</v>
      </c>
      <c r="G43" s="157">
        <v>0.183</v>
      </c>
      <c r="H43" s="157">
        <v>2.5470000000000002</v>
      </c>
      <c r="I43" s="157" t="s">
        <v>459</v>
      </c>
      <c r="J43" s="157" t="s">
        <v>460</v>
      </c>
      <c r="K43" s="157">
        <v>0</v>
      </c>
      <c r="L43" s="157">
        <v>0.22</v>
      </c>
      <c r="M43" s="55">
        <v>43070</v>
      </c>
      <c r="N43" s="157" t="s">
        <v>415</v>
      </c>
      <c r="O43" s="157">
        <v>2.5470000000000002</v>
      </c>
      <c r="P43" s="18">
        <f t="shared" ref="P43:P68" si="3">O43/H43*100</f>
        <v>100</v>
      </c>
      <c r="Q43" s="18">
        <f t="shared" ref="Q43:Q68" si="4">O43/B43*100</f>
        <v>113.20000000000002</v>
      </c>
      <c r="R43" s="157"/>
      <c r="S43" s="157"/>
      <c r="T43" s="157">
        <v>1.43</v>
      </c>
      <c r="U43" s="157">
        <v>2.5</v>
      </c>
      <c r="V43" s="157">
        <v>0.85</v>
      </c>
      <c r="W43" s="157">
        <v>1.63</v>
      </c>
      <c r="X43" s="157">
        <v>0</v>
      </c>
      <c r="Y43" s="157">
        <v>0</v>
      </c>
      <c r="Z43" s="157">
        <v>0.19</v>
      </c>
      <c r="AA43" s="157">
        <v>0.19</v>
      </c>
      <c r="AB43" s="157">
        <v>1.3</v>
      </c>
      <c r="AC43" s="157" t="s">
        <v>302</v>
      </c>
      <c r="AD43" s="55">
        <v>42209</v>
      </c>
      <c r="AE43" s="78">
        <f t="shared" si="0"/>
        <v>57.777777777777786</v>
      </c>
      <c r="AF43" s="23"/>
    </row>
    <row r="44" spans="1:45" s="155" customFormat="1" ht="36.75" customHeight="1" x14ac:dyDescent="0.25">
      <c r="A44" s="77" t="s">
        <v>441</v>
      </c>
      <c r="B44" s="157">
        <v>1.79</v>
      </c>
      <c r="C44" s="157"/>
      <c r="D44" s="157">
        <v>3.52</v>
      </c>
      <c r="E44" s="157">
        <v>1.77</v>
      </c>
      <c r="F44" s="157">
        <v>0</v>
      </c>
      <c r="G44" s="157">
        <v>0.34</v>
      </c>
      <c r="H44" s="157">
        <v>2.5099999999999998</v>
      </c>
      <c r="I44" s="157">
        <v>3.5165999999999999</v>
      </c>
      <c r="J44" s="157">
        <v>1.7665999999999999</v>
      </c>
      <c r="K44" s="157">
        <v>0</v>
      </c>
      <c r="L44" s="157">
        <v>0.34</v>
      </c>
      <c r="M44" s="55">
        <v>43070</v>
      </c>
      <c r="N44" s="157" t="s">
        <v>415</v>
      </c>
      <c r="O44" s="157">
        <v>2.5099999999999998</v>
      </c>
      <c r="P44" s="18">
        <f t="shared" si="3"/>
        <v>100</v>
      </c>
      <c r="Q44" s="18">
        <f t="shared" si="4"/>
        <v>140.22346368715083</v>
      </c>
      <c r="R44" s="157"/>
      <c r="S44" s="157"/>
      <c r="T44" s="157">
        <v>1.4359999999999999</v>
      </c>
      <c r="U44" s="157">
        <v>2.4940000000000002</v>
      </c>
      <c r="V44" s="157">
        <v>0.56000000000000005</v>
      </c>
      <c r="W44" s="157">
        <v>1.6639999999999999</v>
      </c>
      <c r="X44" s="157">
        <v>0</v>
      </c>
      <c r="Y44" s="157">
        <v>0</v>
      </c>
      <c r="Z44" s="157">
        <v>0.46800000000000003</v>
      </c>
      <c r="AA44" s="157">
        <v>0.46800000000000003</v>
      </c>
      <c r="AB44" s="157">
        <v>1.377</v>
      </c>
      <c r="AC44" s="157" t="s">
        <v>302</v>
      </c>
      <c r="AD44" s="55">
        <v>42209</v>
      </c>
      <c r="AE44" s="78">
        <f t="shared" si="0"/>
        <v>76.927374301675982</v>
      </c>
      <c r="AF44" s="23"/>
    </row>
    <row r="45" spans="1:45" s="155" customFormat="1" ht="36.75" customHeight="1" x14ac:dyDescent="0.25">
      <c r="A45" s="77" t="s">
        <v>442</v>
      </c>
      <c r="B45" s="157">
        <v>1.58</v>
      </c>
      <c r="C45" s="157"/>
      <c r="D45" s="157" t="s">
        <v>428</v>
      </c>
      <c r="E45" s="157">
        <v>3.2233000000000001</v>
      </c>
      <c r="F45" s="157" t="s">
        <v>430</v>
      </c>
      <c r="G45" s="157" t="s">
        <v>431</v>
      </c>
      <c r="H45" s="157">
        <v>2.7324999999999999</v>
      </c>
      <c r="I45" s="157" t="s">
        <v>461</v>
      </c>
      <c r="J45" s="157" t="s">
        <v>429</v>
      </c>
      <c r="K45" s="157" t="s">
        <v>438</v>
      </c>
      <c r="L45" s="157" t="s">
        <v>431</v>
      </c>
      <c r="M45" s="55">
        <v>43070</v>
      </c>
      <c r="N45" s="157" t="s">
        <v>415</v>
      </c>
      <c r="O45" s="157">
        <v>2.7324999999999999</v>
      </c>
      <c r="P45" s="18">
        <v>100</v>
      </c>
      <c r="Q45" s="18">
        <f t="shared" si="4"/>
        <v>172.94303797468353</v>
      </c>
      <c r="R45" s="157"/>
      <c r="S45" s="157"/>
      <c r="T45" s="157">
        <v>1.1865000000000001</v>
      </c>
      <c r="U45" s="157">
        <v>2.4260000000000002</v>
      </c>
      <c r="V45" s="157">
        <v>1.0065</v>
      </c>
      <c r="W45" s="157">
        <v>1.5960000000000001</v>
      </c>
      <c r="X45" s="157">
        <v>0.4995</v>
      </c>
      <c r="Y45" s="157">
        <v>0.4995</v>
      </c>
      <c r="Z45" s="157">
        <v>0.40600000000000003</v>
      </c>
      <c r="AA45" s="157">
        <v>0.40600000000000003</v>
      </c>
      <c r="AB45" s="157">
        <v>1.2524</v>
      </c>
      <c r="AC45" s="157" t="s">
        <v>302</v>
      </c>
      <c r="AD45" s="55">
        <v>42209</v>
      </c>
      <c r="AE45" s="78">
        <f t="shared" si="0"/>
        <v>79.265822784810126</v>
      </c>
      <c r="AF45" s="23"/>
    </row>
    <row r="46" spans="1:45" s="155" customFormat="1" ht="36.75" customHeight="1" x14ac:dyDescent="0.25">
      <c r="A46" s="77" t="s">
        <v>443</v>
      </c>
      <c r="B46" s="156">
        <v>1.21</v>
      </c>
      <c r="C46" s="157"/>
      <c r="D46" s="157">
        <v>2.57</v>
      </c>
      <c r="E46" s="157">
        <v>2.86</v>
      </c>
      <c r="F46" s="157">
        <v>2.98</v>
      </c>
      <c r="G46" s="157">
        <v>0</v>
      </c>
      <c r="H46" s="157">
        <v>2.98</v>
      </c>
      <c r="I46" s="157">
        <v>2.5667</v>
      </c>
      <c r="J46" s="157">
        <v>2.8582999999999998</v>
      </c>
      <c r="K46" s="157">
        <v>2.9832999999999998</v>
      </c>
      <c r="L46" s="157">
        <v>0</v>
      </c>
      <c r="M46" s="55">
        <v>43070</v>
      </c>
      <c r="N46" s="157" t="s">
        <v>302</v>
      </c>
      <c r="O46" s="157">
        <v>2.98</v>
      </c>
      <c r="P46" s="18">
        <f t="shared" si="3"/>
        <v>100</v>
      </c>
      <c r="Q46" s="18">
        <f t="shared" si="4"/>
        <v>246.28099173553721</v>
      </c>
      <c r="R46" s="157"/>
      <c r="S46" s="157"/>
      <c r="T46" s="157">
        <v>1.1599999999999999</v>
      </c>
      <c r="U46" s="157">
        <v>1.28</v>
      </c>
      <c r="V46" s="157">
        <v>0.9</v>
      </c>
      <c r="W46" s="157">
        <v>1.44</v>
      </c>
      <c r="X46" s="157">
        <v>0.89</v>
      </c>
      <c r="Y46" s="157">
        <v>0.89</v>
      </c>
      <c r="Z46" s="157">
        <v>0</v>
      </c>
      <c r="AA46" s="157">
        <v>0</v>
      </c>
      <c r="AB46" s="157">
        <v>0.92</v>
      </c>
      <c r="AC46" s="157" t="s">
        <v>302</v>
      </c>
      <c r="AD46" s="55">
        <v>42209</v>
      </c>
      <c r="AE46" s="78">
        <f t="shared" si="0"/>
        <v>76.033057851239676</v>
      </c>
      <c r="AF46" s="23"/>
    </row>
    <row r="47" spans="1:45" s="155" customFormat="1" ht="36.75" customHeight="1" x14ac:dyDescent="0.25">
      <c r="A47" s="77" t="s">
        <v>444</v>
      </c>
      <c r="B47" s="157">
        <v>2.0499999999999998</v>
      </c>
      <c r="C47" s="157"/>
      <c r="D47" s="157" t="s">
        <v>432</v>
      </c>
      <c r="E47" s="157" t="s">
        <v>433</v>
      </c>
      <c r="F47" s="157">
        <v>0</v>
      </c>
      <c r="G47" s="157">
        <v>0</v>
      </c>
      <c r="H47" s="157">
        <v>2.68</v>
      </c>
      <c r="I47" s="157" t="s">
        <v>439</v>
      </c>
      <c r="J47" s="157" t="s">
        <v>433</v>
      </c>
      <c r="K47" s="157">
        <v>0</v>
      </c>
      <c r="L47" s="157">
        <v>0</v>
      </c>
      <c r="M47" s="55">
        <v>43070</v>
      </c>
      <c r="N47" s="157" t="s">
        <v>415</v>
      </c>
      <c r="O47" s="157">
        <v>2.68</v>
      </c>
      <c r="P47" s="18">
        <f t="shared" si="3"/>
        <v>100</v>
      </c>
      <c r="Q47" s="18">
        <f t="shared" si="4"/>
        <v>130.73170731707319</v>
      </c>
      <c r="R47" s="157"/>
      <c r="S47" s="157"/>
      <c r="T47" s="157">
        <v>1.34</v>
      </c>
      <c r="U47" s="157">
        <v>2.35</v>
      </c>
      <c r="V47" s="157">
        <v>1.08</v>
      </c>
      <c r="W47" s="157">
        <v>1.41</v>
      </c>
      <c r="X47" s="157">
        <v>0</v>
      </c>
      <c r="Y47" s="157">
        <v>0</v>
      </c>
      <c r="Z47" s="157">
        <v>0</v>
      </c>
      <c r="AA47" s="157">
        <v>0</v>
      </c>
      <c r="AB47" s="157">
        <v>1.33</v>
      </c>
      <c r="AC47" s="157" t="s">
        <v>302</v>
      </c>
      <c r="AD47" s="55">
        <v>42209</v>
      </c>
      <c r="AE47" s="78">
        <f>AB47/B47*100</f>
        <v>64.878048780487816</v>
      </c>
      <c r="AF47" s="23"/>
    </row>
    <row r="48" spans="1:45" s="155" customFormat="1" ht="36.75" hidden="1" customHeight="1" x14ac:dyDescent="0.25">
      <c r="A48" s="77" t="s">
        <v>88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 t="e">
        <f t="shared" si="3"/>
        <v>#DIV/0!</v>
      </c>
      <c r="Q48" s="157" t="e">
        <f t="shared" si="4"/>
        <v>#DIV/0!</v>
      </c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78" t="e">
        <f t="shared" si="0"/>
        <v>#DIV/0!</v>
      </c>
      <c r="AF48" s="23"/>
    </row>
    <row r="49" spans="1:32" s="155" customFormat="1" ht="36.75" customHeight="1" x14ac:dyDescent="0.25">
      <c r="A49" s="85" t="s">
        <v>258</v>
      </c>
      <c r="B49" s="157">
        <v>6.4</v>
      </c>
      <c r="C49" s="157"/>
      <c r="D49" s="157"/>
      <c r="E49" s="157"/>
      <c r="F49" s="157"/>
      <c r="G49" s="157"/>
      <c r="H49" s="157">
        <v>6.4</v>
      </c>
      <c r="I49" s="283">
        <v>6.4</v>
      </c>
      <c r="J49" s="284"/>
      <c r="K49" s="284"/>
      <c r="L49" s="285"/>
      <c r="M49" s="55">
        <v>41306</v>
      </c>
      <c r="N49" s="157" t="s">
        <v>303</v>
      </c>
      <c r="O49" s="157">
        <v>6.4</v>
      </c>
      <c r="P49" s="157">
        <f t="shared" si="3"/>
        <v>100</v>
      </c>
      <c r="Q49" s="157">
        <f t="shared" si="4"/>
        <v>100</v>
      </c>
      <c r="R49" s="157"/>
      <c r="S49" s="157"/>
      <c r="T49" s="281">
        <v>7.68</v>
      </c>
      <c r="U49" s="281"/>
      <c r="V49" s="281"/>
      <c r="W49" s="281"/>
      <c r="X49" s="281"/>
      <c r="Y49" s="281"/>
      <c r="Z49" s="281"/>
      <c r="AA49" s="281"/>
      <c r="AB49" s="157">
        <v>6.4</v>
      </c>
      <c r="AC49" s="157" t="s">
        <v>303</v>
      </c>
      <c r="AD49" s="55">
        <v>41306</v>
      </c>
      <c r="AE49" s="78">
        <f t="shared" si="0"/>
        <v>100</v>
      </c>
      <c r="AF49" s="23"/>
    </row>
    <row r="50" spans="1:32" s="155" customFormat="1" ht="31.9" hidden="1" customHeight="1" x14ac:dyDescent="0.2">
      <c r="A50" s="79" t="s">
        <v>304</v>
      </c>
      <c r="B50" s="157">
        <v>1.1299999999999999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 t="e">
        <f t="shared" si="3"/>
        <v>#DIV/0!</v>
      </c>
      <c r="Q50" s="157">
        <f t="shared" si="4"/>
        <v>0</v>
      </c>
      <c r="R50" s="157"/>
      <c r="S50" s="157"/>
      <c r="T50" s="157">
        <v>1.1499999999999999</v>
      </c>
      <c r="U50" s="157">
        <v>1.29</v>
      </c>
      <c r="V50" s="157">
        <v>1.22</v>
      </c>
      <c r="W50" s="157">
        <v>1.35</v>
      </c>
      <c r="X50" s="157">
        <v>1.08</v>
      </c>
      <c r="Y50" s="157">
        <v>1.21</v>
      </c>
      <c r="Z50" s="157">
        <v>0.17</v>
      </c>
      <c r="AA50" s="157">
        <v>0.17</v>
      </c>
      <c r="AB50" s="157">
        <v>0.91</v>
      </c>
      <c r="AC50" s="157" t="s">
        <v>305</v>
      </c>
      <c r="AD50" s="55">
        <v>41473</v>
      </c>
      <c r="AE50" s="78">
        <f t="shared" si="0"/>
        <v>80.530973451327441</v>
      </c>
      <c r="AF50" s="23"/>
    </row>
    <row r="51" spans="1:32" s="155" customFormat="1" ht="27.2" hidden="1" customHeight="1" x14ac:dyDescent="0.25">
      <c r="A51" s="77" t="s">
        <v>306</v>
      </c>
      <c r="B51" s="157">
        <v>1.1299999999999999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 t="e">
        <f t="shared" si="3"/>
        <v>#DIV/0!</v>
      </c>
      <c r="Q51" s="157">
        <f t="shared" si="4"/>
        <v>0</v>
      </c>
      <c r="R51" s="157"/>
      <c r="S51" s="157"/>
      <c r="T51" s="157">
        <v>1.1499999999999999</v>
      </c>
      <c r="U51" s="157">
        <v>1.29</v>
      </c>
      <c r="V51" s="157">
        <v>1.22</v>
      </c>
      <c r="W51" s="157">
        <v>1.35</v>
      </c>
      <c r="X51" s="157">
        <v>1.08</v>
      </c>
      <c r="Y51" s="157">
        <v>1.21</v>
      </c>
      <c r="Z51" s="157">
        <v>0.17</v>
      </c>
      <c r="AA51" s="157">
        <v>0.17</v>
      </c>
      <c r="AB51" s="157">
        <v>1.06</v>
      </c>
      <c r="AC51" s="157" t="s">
        <v>307</v>
      </c>
      <c r="AD51" s="55">
        <v>41473</v>
      </c>
      <c r="AE51" s="78">
        <f t="shared" si="0"/>
        <v>93.805309734513287</v>
      </c>
      <c r="AF51" s="23"/>
    </row>
    <row r="52" spans="1:32" s="155" customFormat="1" ht="27.2" hidden="1" customHeight="1" x14ac:dyDescent="0.25">
      <c r="A52" s="77" t="s">
        <v>308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 t="e">
        <f t="shared" si="3"/>
        <v>#DIV/0!</v>
      </c>
      <c r="Q52" s="157" t="e">
        <f t="shared" si="4"/>
        <v>#DIV/0!</v>
      </c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55"/>
      <c r="AE52" s="78"/>
      <c r="AF52" s="23"/>
    </row>
    <row r="53" spans="1:32" s="155" customFormat="1" hidden="1" x14ac:dyDescent="0.25">
      <c r="A53" s="77" t="s">
        <v>309</v>
      </c>
      <c r="B53" s="157">
        <v>1.17</v>
      </c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 t="e">
        <f t="shared" si="3"/>
        <v>#DIV/0!</v>
      </c>
      <c r="Q53" s="157">
        <f t="shared" si="4"/>
        <v>0</v>
      </c>
      <c r="R53" s="157"/>
      <c r="S53" s="157"/>
      <c r="T53" s="157">
        <v>0</v>
      </c>
      <c r="U53" s="157">
        <v>0</v>
      </c>
      <c r="V53" s="157">
        <v>1.04</v>
      </c>
      <c r="W53" s="157">
        <v>1.04</v>
      </c>
      <c r="X53" s="157">
        <v>1.06</v>
      </c>
      <c r="Y53" s="157">
        <v>1.06</v>
      </c>
      <c r="Z53" s="157">
        <v>0.24</v>
      </c>
      <c r="AA53" s="157">
        <v>0.24</v>
      </c>
      <c r="AB53" s="157">
        <v>0.85</v>
      </c>
      <c r="AC53" s="157" t="s">
        <v>310</v>
      </c>
      <c r="AD53" s="55">
        <v>40590</v>
      </c>
      <c r="AE53" s="78">
        <f t="shared" si="0"/>
        <v>72.649572649572647</v>
      </c>
      <c r="AF53" s="23"/>
    </row>
    <row r="54" spans="1:32" s="155" customFormat="1" ht="27.2" hidden="1" customHeight="1" x14ac:dyDescent="0.25">
      <c r="A54" s="77" t="s">
        <v>311</v>
      </c>
      <c r="B54" s="157">
        <v>1.06</v>
      </c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 t="e">
        <f t="shared" si="3"/>
        <v>#DIV/0!</v>
      </c>
      <c r="Q54" s="157">
        <f t="shared" si="4"/>
        <v>0</v>
      </c>
      <c r="R54" s="157"/>
      <c r="S54" s="157"/>
      <c r="T54" s="157">
        <v>0</v>
      </c>
      <c r="U54" s="157">
        <v>0</v>
      </c>
      <c r="V54" s="157">
        <v>1.06</v>
      </c>
      <c r="W54" s="157">
        <v>1.06</v>
      </c>
      <c r="X54" s="157">
        <v>1.06</v>
      </c>
      <c r="Y54" s="157">
        <v>1.06</v>
      </c>
      <c r="Z54" s="157"/>
      <c r="AA54" s="157"/>
      <c r="AB54" s="157">
        <v>0.85</v>
      </c>
      <c r="AC54" s="157" t="s">
        <v>310</v>
      </c>
      <c r="AD54" s="55">
        <v>40590</v>
      </c>
      <c r="AE54" s="78">
        <f t="shared" si="0"/>
        <v>80.188679245283012</v>
      </c>
      <c r="AF54" s="23"/>
    </row>
    <row r="55" spans="1:32" s="155" customFormat="1" ht="27.2" hidden="1" customHeight="1" x14ac:dyDescent="0.25">
      <c r="A55" s="77" t="s">
        <v>312</v>
      </c>
      <c r="B55" s="157">
        <v>1.27</v>
      </c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 t="e">
        <f t="shared" si="3"/>
        <v>#DIV/0!</v>
      </c>
      <c r="Q55" s="157">
        <f t="shared" si="4"/>
        <v>0</v>
      </c>
      <c r="R55" s="157"/>
      <c r="S55" s="157"/>
      <c r="T55" s="157">
        <v>0</v>
      </c>
      <c r="U55" s="157">
        <v>0</v>
      </c>
      <c r="V55" s="157">
        <v>1.02</v>
      </c>
      <c r="W55" s="157">
        <v>1.02</v>
      </c>
      <c r="X55" s="157">
        <v>0</v>
      </c>
      <c r="Y55" s="157">
        <v>0</v>
      </c>
      <c r="Z55" s="157">
        <v>0.24</v>
      </c>
      <c r="AA55" s="157">
        <v>0.24</v>
      </c>
      <c r="AB55" s="157">
        <v>0.85</v>
      </c>
      <c r="AC55" s="157" t="s">
        <v>310</v>
      </c>
      <c r="AD55" s="55">
        <v>40590</v>
      </c>
      <c r="AE55" s="78">
        <f t="shared" si="0"/>
        <v>66.929133858267704</v>
      </c>
      <c r="AF55" s="23"/>
    </row>
    <row r="56" spans="1:32" s="155" customFormat="1" ht="27.2" hidden="1" customHeight="1" x14ac:dyDescent="0.25">
      <c r="A56" s="77" t="s">
        <v>313</v>
      </c>
      <c r="B56" s="157">
        <v>1.18</v>
      </c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 t="e">
        <f t="shared" si="3"/>
        <v>#DIV/0!</v>
      </c>
      <c r="Q56" s="157">
        <f t="shared" si="4"/>
        <v>0</v>
      </c>
      <c r="R56" s="157"/>
      <c r="S56" s="157"/>
      <c r="T56" s="157">
        <v>0</v>
      </c>
      <c r="U56" s="157">
        <v>0</v>
      </c>
      <c r="V56" s="157">
        <v>1.46</v>
      </c>
      <c r="W56" s="157">
        <v>1.46</v>
      </c>
      <c r="X56" s="157">
        <v>0</v>
      </c>
      <c r="Y56" s="157">
        <v>0</v>
      </c>
      <c r="Z56" s="157">
        <v>0</v>
      </c>
      <c r="AA56" s="157">
        <v>0</v>
      </c>
      <c r="AB56" s="157">
        <v>1.21</v>
      </c>
      <c r="AC56" s="157"/>
      <c r="AD56" s="55">
        <v>40603</v>
      </c>
      <c r="AE56" s="78">
        <f t="shared" si="0"/>
        <v>102.54237288135593</v>
      </c>
      <c r="AF56" s="23"/>
    </row>
    <row r="57" spans="1:32" s="155" customFormat="1" ht="27.2" hidden="1" customHeight="1" x14ac:dyDescent="0.25">
      <c r="A57" s="77" t="s">
        <v>314</v>
      </c>
      <c r="B57" s="157">
        <v>1.1599999999999999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 t="e">
        <f t="shared" si="3"/>
        <v>#DIV/0!</v>
      </c>
      <c r="Q57" s="157">
        <f t="shared" si="4"/>
        <v>0</v>
      </c>
      <c r="R57" s="157"/>
      <c r="S57" s="157"/>
      <c r="T57" s="157">
        <v>0</v>
      </c>
      <c r="U57" s="157">
        <v>0</v>
      </c>
      <c r="V57" s="157">
        <v>0</v>
      </c>
      <c r="W57" s="157">
        <v>0</v>
      </c>
      <c r="X57" s="157">
        <v>0.77</v>
      </c>
      <c r="Y57" s="157">
        <v>0.77</v>
      </c>
      <c r="Z57" s="157">
        <v>0.24</v>
      </c>
      <c r="AA57" s="157">
        <v>0.24</v>
      </c>
      <c r="AB57" s="157">
        <v>0.51</v>
      </c>
      <c r="AC57" s="157" t="s">
        <v>315</v>
      </c>
      <c r="AD57" s="55">
        <v>39697</v>
      </c>
      <c r="AE57" s="78">
        <f t="shared" si="0"/>
        <v>43.965517241379317</v>
      </c>
      <c r="AF57" s="23"/>
    </row>
    <row r="58" spans="1:32" s="155" customFormat="1" ht="36.75" hidden="1" customHeight="1" x14ac:dyDescent="0.25">
      <c r="A58" s="85" t="s">
        <v>316</v>
      </c>
      <c r="B58" s="157">
        <v>68.12</v>
      </c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 t="e">
        <f t="shared" si="3"/>
        <v>#DIV/0!</v>
      </c>
      <c r="Q58" s="157">
        <f t="shared" si="4"/>
        <v>0</v>
      </c>
      <c r="R58" s="157"/>
      <c r="S58" s="157"/>
      <c r="T58" s="281" t="s">
        <v>317</v>
      </c>
      <c r="U58" s="281"/>
      <c r="V58" s="281"/>
      <c r="W58" s="281"/>
      <c r="X58" s="281"/>
      <c r="Y58" s="281"/>
      <c r="Z58" s="281"/>
      <c r="AA58" s="281"/>
      <c r="AB58" s="157">
        <v>67.02</v>
      </c>
      <c r="AC58" s="157" t="s">
        <v>318</v>
      </c>
      <c r="AD58" s="55">
        <v>40909</v>
      </c>
      <c r="AE58" s="78">
        <f t="shared" si="0"/>
        <v>98.385202583675863</v>
      </c>
      <c r="AF58" s="23"/>
    </row>
    <row r="59" spans="1:32" s="155" customFormat="1" ht="37.5" hidden="1" customHeight="1" x14ac:dyDescent="0.2">
      <c r="A59" s="79" t="s">
        <v>87</v>
      </c>
      <c r="B59" s="157">
        <v>0.61950000000000005</v>
      </c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 t="e">
        <f t="shared" si="3"/>
        <v>#DIV/0!</v>
      </c>
      <c r="Q59" s="157">
        <f t="shared" si="4"/>
        <v>0</v>
      </c>
      <c r="R59" s="157"/>
      <c r="S59" s="157"/>
      <c r="T59" s="157">
        <v>0.74199999999999999</v>
      </c>
      <c r="U59" s="157">
        <v>0.90600000000000003</v>
      </c>
      <c r="V59" s="157">
        <v>0.74199999999999999</v>
      </c>
      <c r="W59" s="157">
        <v>0.78500000000000003</v>
      </c>
      <c r="X59" s="157">
        <v>0</v>
      </c>
      <c r="Y59" s="157">
        <v>0</v>
      </c>
      <c r="Z59" s="157">
        <v>0</v>
      </c>
      <c r="AA59" s="157">
        <v>0</v>
      </c>
      <c r="AB59" s="157">
        <v>0.54900000000000004</v>
      </c>
      <c r="AC59" s="157"/>
      <c r="AD59" s="55">
        <v>40452</v>
      </c>
      <c r="AE59" s="78">
        <f t="shared" si="0"/>
        <v>88.619854721549643</v>
      </c>
      <c r="AF59" s="23"/>
    </row>
    <row r="60" spans="1:32" s="155" customFormat="1" ht="37.5" hidden="1" customHeight="1" x14ac:dyDescent="0.2">
      <c r="A60" s="83" t="s">
        <v>319</v>
      </c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 t="e">
        <f t="shared" si="3"/>
        <v>#DIV/0!</v>
      </c>
      <c r="Q60" s="157" t="e">
        <f t="shared" si="4"/>
        <v>#DIV/0!</v>
      </c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78" t="e">
        <f t="shared" si="0"/>
        <v>#DIV/0!</v>
      </c>
      <c r="AF60" s="23"/>
    </row>
    <row r="61" spans="1:32" s="155" customFormat="1" ht="37.5" hidden="1" customHeight="1" x14ac:dyDescent="0.2">
      <c r="A61" s="83" t="s">
        <v>320</v>
      </c>
      <c r="B61" s="157">
        <v>0.65</v>
      </c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 t="e">
        <f t="shared" si="3"/>
        <v>#DIV/0!</v>
      </c>
      <c r="Q61" s="157">
        <f t="shared" si="4"/>
        <v>0</v>
      </c>
      <c r="R61" s="157"/>
      <c r="S61" s="157"/>
      <c r="T61" s="157">
        <v>0.83</v>
      </c>
      <c r="U61" s="157">
        <v>0.83</v>
      </c>
      <c r="V61" s="157">
        <v>0.74199999999999999</v>
      </c>
      <c r="W61" s="157">
        <v>0.74199999999999999</v>
      </c>
      <c r="X61" s="157">
        <v>0</v>
      </c>
      <c r="Y61" s="157">
        <v>0</v>
      </c>
      <c r="Z61" s="157">
        <v>0</v>
      </c>
      <c r="AA61" s="157">
        <v>0</v>
      </c>
      <c r="AB61" s="157">
        <v>0.503</v>
      </c>
      <c r="AC61" s="157" t="s">
        <v>321</v>
      </c>
      <c r="AD61" s="55">
        <v>40452</v>
      </c>
      <c r="AE61" s="78">
        <f t="shared" si="0"/>
        <v>77.384615384615387</v>
      </c>
      <c r="AF61" s="23"/>
    </row>
    <row r="62" spans="1:32" s="155" customFormat="1" ht="37.5" hidden="1" customHeight="1" x14ac:dyDescent="0.25">
      <c r="A62" s="7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 t="e">
        <f t="shared" si="3"/>
        <v>#DIV/0!</v>
      </c>
      <c r="Q62" s="157" t="e">
        <f t="shared" si="4"/>
        <v>#DIV/0!</v>
      </c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55"/>
      <c r="AE62" s="78"/>
      <c r="AF62" s="23"/>
    </row>
    <row r="63" spans="1:32" s="155" customFormat="1" ht="37.5" hidden="1" customHeight="1" x14ac:dyDescent="0.25">
      <c r="A63" s="77" t="s">
        <v>88</v>
      </c>
      <c r="B63" s="157">
        <v>1.98</v>
      </c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 t="e">
        <f t="shared" si="3"/>
        <v>#DIV/0!</v>
      </c>
      <c r="Q63" s="157">
        <f t="shared" si="4"/>
        <v>0</v>
      </c>
      <c r="R63" s="157"/>
      <c r="S63" s="157"/>
      <c r="T63" s="157">
        <v>0.28999999999999998</v>
      </c>
      <c r="U63" s="157">
        <v>0.28999999999999998</v>
      </c>
      <c r="V63" s="157">
        <v>0</v>
      </c>
      <c r="W63" s="157">
        <v>0</v>
      </c>
      <c r="X63" s="157">
        <v>0</v>
      </c>
      <c r="Y63" s="157">
        <v>0</v>
      </c>
      <c r="Z63" s="157">
        <v>0</v>
      </c>
      <c r="AA63" s="157">
        <v>0</v>
      </c>
      <c r="AB63" s="157">
        <v>0.28999999999999998</v>
      </c>
      <c r="AC63" s="157" t="s">
        <v>322</v>
      </c>
      <c r="AD63" s="55">
        <v>39600</v>
      </c>
      <c r="AE63" s="78">
        <f t="shared" si="0"/>
        <v>14.646464646464647</v>
      </c>
      <c r="AF63" s="23"/>
    </row>
    <row r="64" spans="1:32" s="155" customFormat="1" ht="42.75" hidden="1" customHeight="1" x14ac:dyDescent="0.25">
      <c r="A64" s="85" t="s">
        <v>258</v>
      </c>
      <c r="B64" s="157">
        <v>4.1100000000000003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 t="e">
        <f t="shared" si="3"/>
        <v>#DIV/0!</v>
      </c>
      <c r="Q64" s="157">
        <f t="shared" si="4"/>
        <v>0</v>
      </c>
      <c r="R64" s="157"/>
      <c r="S64" s="157"/>
      <c r="T64" s="157">
        <v>5.2</v>
      </c>
      <c r="U64" s="157">
        <v>5.2</v>
      </c>
      <c r="V64" s="157">
        <v>0</v>
      </c>
      <c r="W64" s="157">
        <v>0</v>
      </c>
      <c r="X64" s="157">
        <v>0</v>
      </c>
      <c r="Y64" s="157">
        <v>0</v>
      </c>
      <c r="Z64" s="157">
        <v>0</v>
      </c>
      <c r="AA64" s="157">
        <v>0</v>
      </c>
      <c r="AB64" s="157">
        <v>4.33</v>
      </c>
      <c r="AC64" s="157" t="s">
        <v>323</v>
      </c>
      <c r="AD64" s="55">
        <v>40763</v>
      </c>
      <c r="AE64" s="78">
        <f t="shared" si="0"/>
        <v>105.35279805352798</v>
      </c>
      <c r="AF64" s="23"/>
    </row>
    <row r="65" spans="1:32" s="155" customFormat="1" ht="33" customHeight="1" x14ac:dyDescent="0.2">
      <c r="A65" s="152" t="s">
        <v>324</v>
      </c>
      <c r="B65" s="157">
        <f>(B66+B67+B68)/3</f>
        <v>1.6950000000000001</v>
      </c>
      <c r="C65" s="157">
        <f t="shared" ref="C65:I65" si="5">(C66+C67+C68+C69+C71)</f>
        <v>0</v>
      </c>
      <c r="D65" s="157">
        <f t="shared" si="5"/>
        <v>0</v>
      </c>
      <c r="E65" s="100">
        <f>(E66+E67+E68)/3</f>
        <v>2.0746666666666669</v>
      </c>
      <c r="F65" s="157">
        <f>(F66+F67)/2</f>
        <v>2.2270000000000003</v>
      </c>
      <c r="G65" s="157">
        <f>(G66+G67)/2</f>
        <v>0.76300000000000001</v>
      </c>
      <c r="H65" s="100">
        <f>(H66+H67+H68)/3</f>
        <v>1.6516666666666666</v>
      </c>
      <c r="I65" s="157">
        <f t="shared" si="5"/>
        <v>0</v>
      </c>
      <c r="J65" s="100">
        <f>(J66+J67+J68)/3</f>
        <v>2.0746666666666669</v>
      </c>
      <c r="K65" s="100">
        <f>(K66+K67+K68)/3</f>
        <v>1.4846666666666668</v>
      </c>
      <c r="L65" s="100">
        <f>(L66+L67+L68)/3</f>
        <v>0.50866666666666671</v>
      </c>
      <c r="M65" s="157"/>
      <c r="N65" s="157"/>
      <c r="O65" s="100">
        <f>(O66+O67+O68)/3</f>
        <v>1.7673333333333332</v>
      </c>
      <c r="P65" s="18">
        <f t="shared" si="3"/>
        <v>107.00302724520685</v>
      </c>
      <c r="Q65" s="18">
        <f>O65/B65*100</f>
        <v>104.26745329400195</v>
      </c>
      <c r="R65" s="157"/>
      <c r="S65" s="157"/>
      <c r="T65" s="157">
        <v>1.82</v>
      </c>
      <c r="U65" s="157">
        <v>1.82</v>
      </c>
      <c r="V65" s="157">
        <v>1.44</v>
      </c>
      <c r="W65" s="157">
        <v>1.45</v>
      </c>
      <c r="X65" s="157">
        <v>0</v>
      </c>
      <c r="Y65" s="157">
        <v>0</v>
      </c>
      <c r="Z65" s="157">
        <v>0</v>
      </c>
      <c r="AA65" s="157">
        <v>0</v>
      </c>
      <c r="AB65" s="157">
        <f>(AB66+AB67+AB68+AB69+AB71)/5</f>
        <v>0.52200000000000002</v>
      </c>
      <c r="AC65" s="157"/>
      <c r="AD65" s="55">
        <v>39783</v>
      </c>
      <c r="AE65" s="78">
        <f>AB65/B65*100</f>
        <v>30.796460176991154</v>
      </c>
      <c r="AF65" s="23"/>
    </row>
    <row r="66" spans="1:32" s="155" customFormat="1" ht="50.25" customHeight="1" x14ac:dyDescent="0.2">
      <c r="A66" s="227" t="s">
        <v>325</v>
      </c>
      <c r="B66" s="157">
        <v>1.575</v>
      </c>
      <c r="C66" s="157"/>
      <c r="D66" s="157"/>
      <c r="E66" s="157">
        <v>2.194</v>
      </c>
      <c r="F66" s="157">
        <v>1.794</v>
      </c>
      <c r="G66" s="157">
        <v>0.73599999999999999</v>
      </c>
      <c r="H66" s="157">
        <v>1.575</v>
      </c>
      <c r="I66" s="157"/>
      <c r="J66" s="157">
        <v>2.194</v>
      </c>
      <c r="K66" s="157">
        <v>1.794</v>
      </c>
      <c r="L66" s="157">
        <v>0.73599999999999999</v>
      </c>
      <c r="M66" s="55"/>
      <c r="N66" s="228"/>
      <c r="O66" s="157">
        <v>1.4119999999999999</v>
      </c>
      <c r="P66" s="18">
        <f t="shared" si="3"/>
        <v>89.650793650793645</v>
      </c>
      <c r="Q66" s="18">
        <f t="shared" si="4"/>
        <v>89.650793650793645</v>
      </c>
      <c r="R66" s="157"/>
      <c r="S66" s="157"/>
      <c r="T66" s="157">
        <v>1.82</v>
      </c>
      <c r="U66" s="157">
        <v>1.82</v>
      </c>
      <c r="V66" s="157">
        <v>1.42</v>
      </c>
      <c r="W66" s="157">
        <v>1.57</v>
      </c>
      <c r="X66" s="157">
        <v>0</v>
      </c>
      <c r="Y66" s="157">
        <v>0</v>
      </c>
      <c r="Z66" s="157">
        <v>0</v>
      </c>
      <c r="AA66" s="157">
        <v>0</v>
      </c>
      <c r="AB66" s="157">
        <v>1.38</v>
      </c>
      <c r="AC66" s="157" t="s">
        <v>326</v>
      </c>
      <c r="AD66" s="55">
        <v>39783</v>
      </c>
      <c r="AE66" s="78">
        <f t="shared" si="0"/>
        <v>87.61904761904762</v>
      </c>
      <c r="AF66" s="91" t="s">
        <v>327</v>
      </c>
    </row>
    <row r="67" spans="1:32" s="155" customFormat="1" ht="33" customHeight="1" x14ac:dyDescent="0.2">
      <c r="A67" s="94" t="s">
        <v>328</v>
      </c>
      <c r="B67" s="157">
        <v>2.04</v>
      </c>
      <c r="C67" s="157"/>
      <c r="D67" s="157"/>
      <c r="E67" s="157">
        <v>2.69</v>
      </c>
      <c r="F67" s="157">
        <v>2.66</v>
      </c>
      <c r="G67" s="157">
        <v>0.79</v>
      </c>
      <c r="H67" s="157">
        <v>2.04</v>
      </c>
      <c r="I67" s="157"/>
      <c r="J67" s="157">
        <v>2.69</v>
      </c>
      <c r="K67" s="157">
        <v>2.66</v>
      </c>
      <c r="L67" s="157">
        <v>0.79</v>
      </c>
      <c r="M67" s="55"/>
      <c r="N67" s="95"/>
      <c r="O67" s="157">
        <v>2.5499999999999998</v>
      </c>
      <c r="P67" s="18">
        <f t="shared" si="3"/>
        <v>125</v>
      </c>
      <c r="Q67" s="18">
        <f t="shared" si="4"/>
        <v>125</v>
      </c>
      <c r="R67" s="157"/>
      <c r="S67" s="157"/>
      <c r="T67" s="157">
        <v>1.82</v>
      </c>
      <c r="U67" s="157">
        <v>1.82</v>
      </c>
      <c r="V67" s="157">
        <v>1.44</v>
      </c>
      <c r="W67" s="157">
        <v>1.44</v>
      </c>
      <c r="X67" s="157">
        <v>0</v>
      </c>
      <c r="Y67" s="157">
        <v>0</v>
      </c>
      <c r="Z67" s="157">
        <v>0</v>
      </c>
      <c r="AA67" s="157">
        <v>0</v>
      </c>
      <c r="AB67" s="157">
        <v>1.23</v>
      </c>
      <c r="AC67" s="157" t="s">
        <v>326</v>
      </c>
      <c r="AD67" s="55">
        <v>39783</v>
      </c>
      <c r="AE67" s="78">
        <f>AB67/B67*100</f>
        <v>60.294117647058819</v>
      </c>
      <c r="AF67" s="91"/>
    </row>
    <row r="68" spans="1:32" s="155" customFormat="1" ht="33" customHeight="1" x14ac:dyDescent="0.2">
      <c r="A68" s="94" t="s">
        <v>412</v>
      </c>
      <c r="B68" s="157">
        <v>1.47</v>
      </c>
      <c r="C68" s="157"/>
      <c r="D68" s="157"/>
      <c r="E68" s="157">
        <v>1.34</v>
      </c>
      <c r="F68" s="157"/>
      <c r="G68" s="157"/>
      <c r="H68" s="157">
        <v>1.34</v>
      </c>
      <c r="I68" s="157"/>
      <c r="J68" s="157">
        <v>1.34</v>
      </c>
      <c r="K68" s="157"/>
      <c r="L68" s="157"/>
      <c r="M68" s="55"/>
      <c r="N68" s="286"/>
      <c r="O68" s="157">
        <v>1.34</v>
      </c>
      <c r="P68" s="18">
        <f t="shared" si="3"/>
        <v>100</v>
      </c>
      <c r="Q68" s="18">
        <f t="shared" si="4"/>
        <v>91.156462585034021</v>
      </c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55"/>
      <c r="AE68" s="78"/>
      <c r="AF68" s="91"/>
    </row>
    <row r="69" spans="1:32" s="1" customFormat="1" ht="33" customHeight="1" x14ac:dyDescent="0.2">
      <c r="A69" s="94"/>
      <c r="B69" s="117"/>
      <c r="C69" s="117"/>
      <c r="D69" s="117"/>
      <c r="E69" s="117"/>
      <c r="F69" s="117"/>
      <c r="G69" s="117"/>
      <c r="H69" s="96"/>
      <c r="I69" s="117"/>
      <c r="J69" s="117"/>
      <c r="K69" s="117"/>
      <c r="L69" s="117"/>
      <c r="M69" s="55"/>
      <c r="N69" s="286"/>
      <c r="O69" s="117"/>
      <c r="P69" s="117"/>
      <c r="Q69" s="18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55"/>
      <c r="AE69" s="78"/>
      <c r="AF69" s="23"/>
    </row>
    <row r="70" spans="1:32" s="1" customFormat="1" ht="33" customHeight="1" x14ac:dyDescent="0.2">
      <c r="A70" s="94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55"/>
      <c r="N70" s="95"/>
      <c r="O70" s="117"/>
      <c r="P70" s="117"/>
      <c r="Q70" s="18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55"/>
      <c r="AE70" s="78"/>
      <c r="AF70" s="23"/>
    </row>
    <row r="71" spans="1:32" s="1" customFormat="1" ht="33" customHeight="1" x14ac:dyDescent="0.2">
      <c r="A71" s="94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55"/>
      <c r="N71" s="95"/>
      <c r="O71" s="60"/>
      <c r="P71" s="60"/>
      <c r="Q71" s="18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55"/>
      <c r="AE71" s="78"/>
      <c r="AF71" s="23"/>
    </row>
    <row r="72" spans="1:32" s="1" customFormat="1" ht="33" customHeight="1" x14ac:dyDescent="0.2">
      <c r="A72" s="94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97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55"/>
      <c r="AE72" s="78"/>
      <c r="AF72" s="23"/>
    </row>
    <row r="73" spans="1:32" s="1" customFormat="1" ht="44.25" customHeight="1" x14ac:dyDescent="0.2">
      <c r="A73" s="79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55"/>
      <c r="AE73" s="78"/>
      <c r="AF73" s="23"/>
    </row>
    <row r="74" spans="1:32" s="1" customFormat="1" ht="33" customHeight="1" x14ac:dyDescent="0.25">
      <c r="A74" s="85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60"/>
      <c r="Q74" s="60"/>
      <c r="R74" s="18"/>
      <c r="S74" s="18"/>
      <c r="T74" s="281"/>
      <c r="U74" s="281"/>
      <c r="V74" s="281"/>
      <c r="W74" s="281"/>
      <c r="X74" s="281"/>
      <c r="Y74" s="281"/>
      <c r="Z74" s="281"/>
      <c r="AA74" s="281"/>
      <c r="AB74" s="60"/>
      <c r="AC74" s="60"/>
      <c r="AD74" s="55"/>
      <c r="AE74" s="78"/>
      <c r="AF74" s="23"/>
    </row>
    <row r="75" spans="1:32" s="1" customFormat="1" ht="36.75" hidden="1" customHeight="1" x14ac:dyDescent="0.2">
      <c r="A75" s="79" t="s">
        <v>329</v>
      </c>
      <c r="B75" s="60">
        <v>2.06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>
        <v>1.82</v>
      </c>
      <c r="U75" s="60">
        <v>2.85</v>
      </c>
      <c r="V75" s="60">
        <v>1.9</v>
      </c>
      <c r="W75" s="60">
        <v>2.8</v>
      </c>
      <c r="X75" s="60">
        <v>0.8</v>
      </c>
      <c r="Y75" s="60">
        <v>1.22</v>
      </c>
      <c r="Z75" s="60">
        <v>0.26</v>
      </c>
      <c r="AA75" s="60">
        <v>0.54</v>
      </c>
      <c r="AB75" s="60">
        <v>1.82</v>
      </c>
      <c r="AC75" s="60" t="s">
        <v>330</v>
      </c>
      <c r="AD75" s="55">
        <v>41426</v>
      </c>
      <c r="AE75" s="78">
        <f t="shared" ref="AE75:AE127" si="6">AB75/B75*100</f>
        <v>88.349514563106794</v>
      </c>
      <c r="AF75" s="23"/>
    </row>
    <row r="76" spans="1:32" s="1" customFormat="1" ht="39.75" hidden="1" customHeight="1" x14ac:dyDescent="0.2">
      <c r="A76" s="94" t="s">
        <v>331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78" t="e">
        <f t="shared" si="6"/>
        <v>#DIV/0!</v>
      </c>
      <c r="AF76" s="23"/>
    </row>
    <row r="77" spans="1:32" s="1" customFormat="1" ht="33" hidden="1" customHeight="1" x14ac:dyDescent="0.2">
      <c r="A77" s="94" t="s">
        <v>332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78" t="e">
        <f t="shared" si="6"/>
        <v>#DIV/0!</v>
      </c>
      <c r="AF77" s="23"/>
    </row>
    <row r="78" spans="1:32" s="1" customFormat="1" ht="33" hidden="1" customHeight="1" x14ac:dyDescent="0.2">
      <c r="A78" s="94" t="s">
        <v>333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78" t="e">
        <f t="shared" si="6"/>
        <v>#DIV/0!</v>
      </c>
      <c r="AF78" s="23"/>
    </row>
    <row r="79" spans="1:32" s="1" customFormat="1" ht="33" hidden="1" customHeight="1" x14ac:dyDescent="0.2">
      <c r="A79" s="94" t="s">
        <v>334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78" t="e">
        <f t="shared" si="6"/>
        <v>#DIV/0!</v>
      </c>
      <c r="AF79" s="23"/>
    </row>
    <row r="80" spans="1:32" s="1" customFormat="1" ht="42.6" hidden="1" customHeight="1" x14ac:dyDescent="0.25">
      <c r="A80" s="85" t="s">
        <v>335</v>
      </c>
      <c r="B80" s="60">
        <v>6.89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281">
        <v>8.27</v>
      </c>
      <c r="U80" s="281"/>
      <c r="V80" s="281"/>
      <c r="W80" s="281"/>
      <c r="X80" s="281"/>
      <c r="Y80" s="281"/>
      <c r="Z80" s="281"/>
      <c r="AA80" s="281"/>
      <c r="AB80" s="60">
        <v>6.89</v>
      </c>
      <c r="AC80" s="60"/>
      <c r="AD80" s="55">
        <v>41000</v>
      </c>
      <c r="AE80" s="78">
        <f t="shared" si="6"/>
        <v>100</v>
      </c>
      <c r="AF80" s="23"/>
    </row>
    <row r="81" spans="1:32" s="1" customFormat="1" ht="36.75" hidden="1" customHeight="1" x14ac:dyDescent="0.2">
      <c r="A81" s="79" t="s">
        <v>104</v>
      </c>
      <c r="B81" s="60">
        <v>0.45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>
        <v>0</v>
      </c>
      <c r="U81" s="60">
        <v>0</v>
      </c>
      <c r="V81" s="60">
        <v>0.26</v>
      </c>
      <c r="W81" s="60">
        <v>0.26</v>
      </c>
      <c r="X81" s="60">
        <v>0.21</v>
      </c>
      <c r="Y81" s="60">
        <v>0.21</v>
      </c>
      <c r="Z81" s="60">
        <v>0.16500000000000001</v>
      </c>
      <c r="AA81" s="60">
        <v>0.16500000000000001</v>
      </c>
      <c r="AB81" s="60">
        <v>0.21</v>
      </c>
      <c r="AC81" s="60" t="s">
        <v>336</v>
      </c>
      <c r="AD81" s="55">
        <v>40800</v>
      </c>
      <c r="AE81" s="78">
        <f t="shared" si="6"/>
        <v>46.666666666666664</v>
      </c>
      <c r="AF81" s="279" t="s">
        <v>327</v>
      </c>
    </row>
    <row r="82" spans="1:32" s="1" customFormat="1" ht="36.75" hidden="1" customHeight="1" x14ac:dyDescent="0.25">
      <c r="A82" s="98" t="s">
        <v>258</v>
      </c>
      <c r="B82" s="60">
        <v>68.849999999999994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>
        <v>67</v>
      </c>
      <c r="W82" s="60"/>
      <c r="X82" s="93"/>
      <c r="Y82" s="93"/>
      <c r="Z82" s="60"/>
      <c r="AA82" s="60"/>
      <c r="AB82" s="60">
        <v>57.25</v>
      </c>
      <c r="AC82" s="60" t="s">
        <v>337</v>
      </c>
      <c r="AD82" s="55">
        <v>41334</v>
      </c>
      <c r="AE82" s="78">
        <f t="shared" si="6"/>
        <v>83.151779230210607</v>
      </c>
      <c r="AF82" s="280"/>
    </row>
    <row r="83" spans="1:32" s="1" customFormat="1" ht="36.75" hidden="1" customHeight="1" x14ac:dyDescent="0.2">
      <c r="A83" s="79" t="s">
        <v>338</v>
      </c>
      <c r="B83" s="60">
        <v>11.94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>
        <v>0</v>
      </c>
      <c r="U83" s="60">
        <v>0</v>
      </c>
      <c r="V83" s="281" t="s">
        <v>339</v>
      </c>
      <c r="W83" s="281"/>
      <c r="X83" s="281"/>
      <c r="Y83" s="281"/>
      <c r="Z83" s="60">
        <v>0</v>
      </c>
      <c r="AA83" s="60">
        <v>0</v>
      </c>
      <c r="AB83" s="60">
        <v>5.8</v>
      </c>
      <c r="AC83" s="55">
        <v>40899</v>
      </c>
      <c r="AD83" s="55">
        <v>40899</v>
      </c>
      <c r="AE83" s="78">
        <f t="shared" si="6"/>
        <v>48.576214405360133</v>
      </c>
      <c r="AF83" s="91"/>
    </row>
    <row r="84" spans="1:32" s="1" customFormat="1" ht="36.75" hidden="1" customHeight="1" x14ac:dyDescent="0.2">
      <c r="A84" s="79" t="s">
        <v>340</v>
      </c>
      <c r="B84" s="60">
        <v>0.64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>
        <v>0</v>
      </c>
      <c r="U84" s="60">
        <v>0</v>
      </c>
      <c r="V84" s="60">
        <v>1.18</v>
      </c>
      <c r="W84" s="60">
        <v>1.18</v>
      </c>
      <c r="X84" s="60">
        <v>1.1000000000000001</v>
      </c>
      <c r="Y84" s="60">
        <v>1.1000000000000001</v>
      </c>
      <c r="Z84" s="60">
        <v>0.66</v>
      </c>
      <c r="AA84" s="60">
        <v>0.66</v>
      </c>
      <c r="AB84" s="60">
        <v>0.56000000000000005</v>
      </c>
      <c r="AC84" s="60" t="s">
        <v>341</v>
      </c>
      <c r="AD84" s="55">
        <v>40942</v>
      </c>
      <c r="AE84" s="78">
        <f t="shared" si="6"/>
        <v>87.500000000000014</v>
      </c>
      <c r="AF84" s="88"/>
    </row>
    <row r="85" spans="1:32" s="1" customFormat="1" ht="36.75" hidden="1" customHeight="1" x14ac:dyDescent="0.3">
      <c r="A85" s="99" t="s">
        <v>258</v>
      </c>
      <c r="B85" s="60">
        <v>65.84</v>
      </c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281" t="s">
        <v>342</v>
      </c>
      <c r="U85" s="281"/>
      <c r="V85" s="281"/>
      <c r="W85" s="281"/>
      <c r="X85" s="281"/>
      <c r="Y85" s="281"/>
      <c r="Z85" s="281"/>
      <c r="AA85" s="281"/>
      <c r="AB85" s="60">
        <v>56.39</v>
      </c>
      <c r="AC85" s="60" t="s">
        <v>343</v>
      </c>
      <c r="AD85" s="55">
        <v>40909</v>
      </c>
      <c r="AE85" s="78">
        <f t="shared" si="6"/>
        <v>85.647023086269741</v>
      </c>
      <c r="AF85" s="23"/>
    </row>
    <row r="86" spans="1:32" s="1" customFormat="1" ht="67.5" hidden="1" customHeight="1" x14ac:dyDescent="0.2">
      <c r="A86" s="79" t="s">
        <v>344</v>
      </c>
      <c r="B86" s="100">
        <f>(B87+B89+B91+B90)/4</f>
        <v>1.0256000000000001</v>
      </c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60">
        <v>0.45469999999999999</v>
      </c>
      <c r="U86" s="60">
        <v>1.7909999999999999</v>
      </c>
      <c r="V86" s="60">
        <v>0.14949999999999999</v>
      </c>
      <c r="W86" s="60">
        <v>1.6700999999999999</v>
      </c>
      <c r="X86" s="60">
        <v>1.175</v>
      </c>
      <c r="Y86" s="60">
        <v>1.175</v>
      </c>
      <c r="Z86" s="60">
        <v>0.113</v>
      </c>
      <c r="AA86" s="60">
        <v>0.113</v>
      </c>
      <c r="AB86" s="100">
        <f>(AB87+AB89+AB91+AB90)/4</f>
        <v>1.0746</v>
      </c>
      <c r="AC86" s="60" t="s">
        <v>345</v>
      </c>
      <c r="AD86" s="55" t="s">
        <v>346</v>
      </c>
      <c r="AE86" s="78">
        <f t="shared" si="6"/>
        <v>104.7776911076443</v>
      </c>
      <c r="AF86" s="23"/>
    </row>
    <row r="87" spans="1:32" s="1" customFormat="1" ht="43.5" hidden="1" customHeight="1" x14ac:dyDescent="0.2">
      <c r="A87" s="83" t="s">
        <v>347</v>
      </c>
      <c r="B87" s="60">
        <v>0.98640000000000005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>
        <v>1.6539999999999999</v>
      </c>
      <c r="U87" s="60">
        <v>1.7909999999999999</v>
      </c>
      <c r="V87" s="60">
        <v>0.14949999999999999</v>
      </c>
      <c r="W87" s="60">
        <v>1.2242999999999999</v>
      </c>
      <c r="X87" s="60">
        <v>0</v>
      </c>
      <c r="Y87" s="60">
        <v>0</v>
      </c>
      <c r="Z87" s="60">
        <v>0</v>
      </c>
      <c r="AA87" s="60">
        <v>0</v>
      </c>
      <c r="AB87" s="60">
        <v>0.91670000000000007</v>
      </c>
      <c r="AC87" s="60" t="s">
        <v>348</v>
      </c>
      <c r="AD87" s="55">
        <v>41320</v>
      </c>
      <c r="AE87" s="78">
        <f t="shared" si="6"/>
        <v>92.933901054339003</v>
      </c>
      <c r="AF87" s="88"/>
    </row>
    <row r="88" spans="1:32" s="1" customFormat="1" ht="37.700000000000003" hidden="1" customHeight="1" x14ac:dyDescent="0.2">
      <c r="A88" s="83" t="s">
        <v>349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>
        <v>0</v>
      </c>
      <c r="U88" s="60">
        <v>0</v>
      </c>
      <c r="V88" s="60">
        <v>0.1537</v>
      </c>
      <c r="W88" s="60">
        <v>1.3467</v>
      </c>
      <c r="X88" s="60">
        <v>0</v>
      </c>
      <c r="Y88" s="60">
        <v>0</v>
      </c>
      <c r="Z88" s="60">
        <v>0</v>
      </c>
      <c r="AA88" s="60">
        <v>0</v>
      </c>
      <c r="AB88" s="60"/>
      <c r="AC88" s="60" t="s">
        <v>350</v>
      </c>
      <c r="AD88" s="55">
        <v>40664</v>
      </c>
      <c r="AE88" s="78" t="e">
        <f t="shared" si="6"/>
        <v>#DIV/0!</v>
      </c>
      <c r="AF88" s="23"/>
    </row>
    <row r="89" spans="1:32" s="1" customFormat="1" ht="39" hidden="1" customHeight="1" x14ac:dyDescent="0.2">
      <c r="A89" s="83" t="s">
        <v>351</v>
      </c>
      <c r="B89" s="60">
        <v>1.056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>
        <v>1.4741</v>
      </c>
      <c r="U89" s="60">
        <v>2.0779999999999998</v>
      </c>
      <c r="V89" s="60">
        <v>0.8</v>
      </c>
      <c r="W89" s="60">
        <v>1.6700999999999999</v>
      </c>
      <c r="X89" s="60">
        <v>0</v>
      </c>
      <c r="Y89" s="60">
        <v>0</v>
      </c>
      <c r="Z89" s="60">
        <v>0</v>
      </c>
      <c r="AA89" s="60">
        <v>0</v>
      </c>
      <c r="AB89" s="60">
        <v>1.044</v>
      </c>
      <c r="AC89" s="60" t="s">
        <v>352</v>
      </c>
      <c r="AD89" s="55">
        <v>41609</v>
      </c>
      <c r="AE89" s="78">
        <f t="shared" si="6"/>
        <v>98.86363636363636</v>
      </c>
      <c r="AF89" s="23"/>
    </row>
    <row r="90" spans="1:32" s="1" customFormat="1" ht="39" hidden="1" customHeight="1" x14ac:dyDescent="0.2">
      <c r="A90" s="83" t="s">
        <v>353</v>
      </c>
      <c r="B90" s="60">
        <v>1.1459999999999999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>
        <v>1.131</v>
      </c>
      <c r="U90" s="60">
        <v>1.131</v>
      </c>
      <c r="V90" s="60">
        <v>1.0170999999999999</v>
      </c>
      <c r="W90" s="60">
        <v>1.2242999999999999</v>
      </c>
      <c r="X90" s="60"/>
      <c r="Y90" s="60"/>
      <c r="Z90" s="60"/>
      <c r="AA90" s="60"/>
      <c r="AB90" s="60">
        <v>1.1479999999999999</v>
      </c>
      <c r="AC90" s="60"/>
      <c r="AD90" s="55">
        <v>41797</v>
      </c>
      <c r="AE90" s="78">
        <f t="shared" si="6"/>
        <v>100.17452006980803</v>
      </c>
      <c r="AF90" s="101" t="s">
        <v>354</v>
      </c>
    </row>
    <row r="91" spans="1:32" s="1" customFormat="1" ht="43.5" hidden="1" customHeight="1" x14ac:dyDescent="0.2">
      <c r="A91" s="83" t="s">
        <v>355</v>
      </c>
      <c r="B91" s="60">
        <v>0.91400000000000003</v>
      </c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>
        <v>0.45469999999999999</v>
      </c>
      <c r="U91" s="60">
        <v>1.2242999999999999</v>
      </c>
      <c r="V91" s="60">
        <v>1.2242999999999999</v>
      </c>
      <c r="W91" s="60">
        <v>1.2242999999999999</v>
      </c>
      <c r="X91" s="60"/>
      <c r="Y91" s="60"/>
      <c r="Z91" s="60"/>
      <c r="AA91" s="60"/>
      <c r="AB91" s="60">
        <v>1.1897</v>
      </c>
      <c r="AC91" s="60"/>
      <c r="AD91" s="55">
        <v>41765</v>
      </c>
      <c r="AE91" s="78">
        <f t="shared" si="6"/>
        <v>130.16411378555799</v>
      </c>
      <c r="AF91" s="101" t="s">
        <v>354</v>
      </c>
    </row>
    <row r="92" spans="1:32" s="1" customFormat="1" ht="44.25" hidden="1" customHeight="1" x14ac:dyDescent="0.25">
      <c r="A92" s="85" t="s">
        <v>356</v>
      </c>
      <c r="B92" s="60">
        <v>5.81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281" t="s">
        <v>357</v>
      </c>
      <c r="U92" s="281"/>
      <c r="V92" s="281"/>
      <c r="W92" s="281"/>
      <c r="X92" s="281"/>
      <c r="Y92" s="281"/>
      <c r="Z92" s="281"/>
      <c r="AA92" s="281"/>
      <c r="AB92" s="60">
        <v>5.0599999999999996</v>
      </c>
      <c r="AC92" s="60" t="s">
        <v>358</v>
      </c>
      <c r="AD92" s="55">
        <v>40725</v>
      </c>
      <c r="AE92" s="78">
        <f t="shared" si="6"/>
        <v>87.091222030981058</v>
      </c>
      <c r="AF92" s="23"/>
    </row>
    <row r="93" spans="1:32" s="1" customFormat="1" ht="36.75" hidden="1" customHeight="1" x14ac:dyDescent="0.2">
      <c r="A93" s="79" t="s">
        <v>359</v>
      </c>
      <c r="B93" s="60">
        <v>1.091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>
        <v>0.88</v>
      </c>
      <c r="U93" s="60">
        <v>1.48</v>
      </c>
      <c r="V93" s="60">
        <v>0.86</v>
      </c>
      <c r="W93" s="60">
        <v>1.5</v>
      </c>
      <c r="X93" s="60">
        <v>0.59</v>
      </c>
      <c r="Y93" s="60">
        <v>0.59</v>
      </c>
      <c r="Z93" s="60">
        <v>0.55000000000000004</v>
      </c>
      <c r="AA93" s="60">
        <v>0.62</v>
      </c>
      <c r="AB93" s="60">
        <v>1.4477</v>
      </c>
      <c r="AC93" s="60" t="s">
        <v>360</v>
      </c>
      <c r="AD93" s="55">
        <v>41548</v>
      </c>
      <c r="AE93" s="78">
        <f t="shared" si="6"/>
        <v>132.69477543538039</v>
      </c>
      <c r="AF93" s="23"/>
    </row>
    <row r="94" spans="1:32" s="1" customFormat="1" ht="36.75" hidden="1" customHeight="1" x14ac:dyDescent="0.25">
      <c r="A94" s="77" t="s">
        <v>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>
        <v>0.88</v>
      </c>
      <c r="U94" s="60">
        <v>1.3</v>
      </c>
      <c r="V94" s="60">
        <v>0.86</v>
      </c>
      <c r="W94" s="60">
        <v>1.27</v>
      </c>
      <c r="X94" s="60">
        <v>0.87</v>
      </c>
      <c r="Y94" s="60">
        <v>0.92</v>
      </c>
      <c r="Z94" s="60">
        <v>0.55000000000000004</v>
      </c>
      <c r="AA94" s="60">
        <v>0.55000000000000004</v>
      </c>
      <c r="AB94" s="60"/>
      <c r="AC94" s="60" t="s">
        <v>361</v>
      </c>
      <c r="AD94" s="55">
        <v>39904</v>
      </c>
      <c r="AE94" s="78" t="e">
        <f t="shared" si="6"/>
        <v>#DIV/0!</v>
      </c>
      <c r="AF94" s="23"/>
    </row>
    <row r="95" spans="1:32" s="1" customFormat="1" ht="36.75" hidden="1" customHeight="1" x14ac:dyDescent="0.25">
      <c r="A95" s="77" t="s">
        <v>88</v>
      </c>
      <c r="B95" s="60">
        <v>0.54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>
        <v>0.54700000000000004</v>
      </c>
      <c r="U95" s="60">
        <v>0.54700000000000004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0.54700000000000004</v>
      </c>
      <c r="AC95" s="60" t="s">
        <v>362</v>
      </c>
      <c r="AD95" s="55">
        <v>39753</v>
      </c>
      <c r="AE95" s="78">
        <f t="shared" si="6"/>
        <v>101.2962962962963</v>
      </c>
      <c r="AF95" s="23"/>
    </row>
    <row r="96" spans="1:32" s="1" customFormat="1" ht="36.75" hidden="1" customHeight="1" x14ac:dyDescent="0.25">
      <c r="A96" s="85" t="s">
        <v>258</v>
      </c>
      <c r="B96" s="60">
        <v>8.31</v>
      </c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281">
        <v>9.31</v>
      </c>
      <c r="U96" s="281"/>
      <c r="V96" s="281"/>
      <c r="W96" s="281"/>
      <c r="X96" s="281"/>
      <c r="Y96" s="281"/>
      <c r="Z96" s="281"/>
      <c r="AA96" s="281"/>
      <c r="AB96" s="60">
        <v>8.6199999999999992</v>
      </c>
      <c r="AC96" s="60" t="s">
        <v>363</v>
      </c>
      <c r="AD96" s="55">
        <v>40909</v>
      </c>
      <c r="AE96" s="78">
        <f t="shared" si="6"/>
        <v>103.73044524669072</v>
      </c>
      <c r="AF96" s="23"/>
    </row>
    <row r="97" spans="1:32" s="1" customFormat="1" ht="36.75" hidden="1" customHeight="1" x14ac:dyDescent="0.2">
      <c r="A97" s="79" t="s">
        <v>21</v>
      </c>
      <c r="B97" s="60">
        <f>B98</f>
        <v>1.5269999999999999</v>
      </c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>
        <f t="shared" ref="T97:AC97" si="7">T98</f>
        <v>0</v>
      </c>
      <c r="U97" s="60">
        <f t="shared" si="7"/>
        <v>0</v>
      </c>
      <c r="V97" s="60">
        <f t="shared" si="7"/>
        <v>1.5289999999999999</v>
      </c>
      <c r="W97" s="60">
        <f t="shared" si="7"/>
        <v>1.891</v>
      </c>
      <c r="X97" s="60">
        <f t="shared" si="7"/>
        <v>0</v>
      </c>
      <c r="Y97" s="60">
        <f t="shared" si="7"/>
        <v>0</v>
      </c>
      <c r="Z97" s="60">
        <f t="shared" si="7"/>
        <v>0</v>
      </c>
      <c r="AA97" s="60">
        <f t="shared" si="7"/>
        <v>0</v>
      </c>
      <c r="AB97" s="60">
        <f>AB98</f>
        <v>1.526</v>
      </c>
      <c r="AC97" s="60" t="str">
        <f t="shared" si="7"/>
        <v>№ 85</v>
      </c>
      <c r="AD97" s="55">
        <v>40725</v>
      </c>
      <c r="AE97" s="78">
        <f t="shared" si="6"/>
        <v>99.934512115258684</v>
      </c>
      <c r="AF97" s="23"/>
    </row>
    <row r="98" spans="1:32" s="1" customFormat="1" ht="36.75" hidden="1" customHeight="1" x14ac:dyDescent="0.2">
      <c r="A98" s="83" t="s">
        <v>60</v>
      </c>
      <c r="B98" s="60">
        <v>1.5269999999999999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>
        <v>0</v>
      </c>
      <c r="U98" s="60">
        <v>0</v>
      </c>
      <c r="V98" s="60">
        <v>1.5289999999999999</v>
      </c>
      <c r="W98" s="60">
        <v>1.891</v>
      </c>
      <c r="X98" s="60">
        <v>0</v>
      </c>
      <c r="Y98" s="60">
        <v>0</v>
      </c>
      <c r="Z98" s="60">
        <v>0</v>
      </c>
      <c r="AA98" s="60">
        <v>0</v>
      </c>
      <c r="AB98" s="60">
        <v>1.526</v>
      </c>
      <c r="AC98" s="60" t="s">
        <v>364</v>
      </c>
      <c r="AD98" s="55">
        <v>40725</v>
      </c>
      <c r="AE98" s="78">
        <f t="shared" si="6"/>
        <v>99.934512115258684</v>
      </c>
      <c r="AF98" s="23"/>
    </row>
    <row r="99" spans="1:32" s="1" customFormat="1" ht="36.75" hidden="1" customHeight="1" x14ac:dyDescent="0.25">
      <c r="A99" s="85" t="s">
        <v>258</v>
      </c>
      <c r="B99" s="60">
        <v>4.76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281">
        <v>7.18</v>
      </c>
      <c r="U99" s="281"/>
      <c r="V99" s="281"/>
      <c r="W99" s="281"/>
      <c r="X99" s="281"/>
      <c r="Y99" s="281"/>
      <c r="Z99" s="281"/>
      <c r="AA99" s="281"/>
      <c r="AB99" s="60">
        <v>5.98</v>
      </c>
      <c r="AC99" s="60" t="s">
        <v>365</v>
      </c>
      <c r="AD99" s="55">
        <v>40787</v>
      </c>
      <c r="AE99" s="78">
        <f t="shared" si="6"/>
        <v>125.63025210084035</v>
      </c>
      <c r="AF99" s="23"/>
    </row>
    <row r="100" spans="1:32" s="1" customFormat="1" ht="36.75" hidden="1" customHeight="1" x14ac:dyDescent="0.2">
      <c r="A100" s="20" t="s">
        <v>366</v>
      </c>
      <c r="B100" s="60">
        <v>0.31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>
        <v>0</v>
      </c>
      <c r="U100" s="60">
        <v>0</v>
      </c>
      <c r="V100" s="60">
        <v>0.47</v>
      </c>
      <c r="W100" s="60">
        <v>0.47</v>
      </c>
      <c r="X100" s="60">
        <v>0</v>
      </c>
      <c r="Y100" s="60">
        <v>0</v>
      </c>
      <c r="Z100" s="60">
        <v>0</v>
      </c>
      <c r="AA100" s="60">
        <v>0</v>
      </c>
      <c r="AB100" s="60">
        <v>0.39</v>
      </c>
      <c r="AC100" s="60" t="s">
        <v>367</v>
      </c>
      <c r="AD100" s="55">
        <v>41260</v>
      </c>
      <c r="AE100" s="78">
        <f t="shared" si="6"/>
        <v>125.80645161290323</v>
      </c>
      <c r="AF100" s="91"/>
    </row>
    <row r="101" spans="1:32" s="1" customFormat="1" ht="36.75" hidden="1" customHeight="1" x14ac:dyDescent="0.25">
      <c r="A101" s="85" t="s">
        <v>368</v>
      </c>
      <c r="B101" s="60">
        <v>0.28000000000000003</v>
      </c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93"/>
      <c r="U101" s="93"/>
      <c r="V101" s="281" t="s">
        <v>369</v>
      </c>
      <c r="W101" s="281"/>
      <c r="X101" s="281"/>
      <c r="Y101" s="281"/>
      <c r="Z101" s="281"/>
      <c r="AA101" s="281"/>
      <c r="AB101" s="60">
        <v>0.28000000000000003</v>
      </c>
      <c r="AC101" s="60" t="s">
        <v>367</v>
      </c>
      <c r="AD101" s="55">
        <v>41260</v>
      </c>
      <c r="AE101" s="78">
        <f t="shared" si="6"/>
        <v>100</v>
      </c>
      <c r="AF101" s="23"/>
    </row>
    <row r="102" spans="1:32" s="1" customFormat="1" ht="36.75" hidden="1" customHeight="1" x14ac:dyDescent="0.2">
      <c r="A102" s="20" t="s">
        <v>370</v>
      </c>
      <c r="B102" s="60">
        <f>B107</f>
        <v>0.79</v>
      </c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>
        <f t="shared" ref="T102:AC102" si="8">T107</f>
        <v>0.93600000000000005</v>
      </c>
      <c r="U102" s="60">
        <f t="shared" si="8"/>
        <v>0.93600000000000005</v>
      </c>
      <c r="V102" s="60">
        <f t="shared" si="8"/>
        <v>0.93600000000000005</v>
      </c>
      <c r="W102" s="60">
        <f t="shared" si="8"/>
        <v>0.93600000000000005</v>
      </c>
      <c r="X102" s="60">
        <f t="shared" si="8"/>
        <v>0</v>
      </c>
      <c r="Y102" s="60">
        <f t="shared" si="8"/>
        <v>0</v>
      </c>
      <c r="Z102" s="60">
        <f t="shared" si="8"/>
        <v>0.13400000000000001</v>
      </c>
      <c r="AA102" s="60">
        <f t="shared" si="8"/>
        <v>0.13400000000000001</v>
      </c>
      <c r="AB102" s="60">
        <f>AB107</f>
        <v>0.53500000000000003</v>
      </c>
      <c r="AC102" s="60" t="str">
        <f t="shared" si="8"/>
        <v xml:space="preserve"> № 10/9 від 25.07.2011</v>
      </c>
      <c r="AD102" s="55">
        <v>40749</v>
      </c>
      <c r="AE102" s="78">
        <f t="shared" si="6"/>
        <v>67.721518987341781</v>
      </c>
      <c r="AF102" s="23"/>
    </row>
    <row r="103" spans="1:32" s="1" customFormat="1" ht="36.75" hidden="1" customHeight="1" x14ac:dyDescent="0.2">
      <c r="A103" s="83" t="s">
        <v>371</v>
      </c>
      <c r="B103" s="60">
        <v>1.6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>
        <v>0</v>
      </c>
      <c r="U103" s="60">
        <v>0</v>
      </c>
      <c r="V103" s="60">
        <v>1.92</v>
      </c>
      <c r="W103" s="60">
        <v>1.92</v>
      </c>
      <c r="X103" s="60">
        <v>0</v>
      </c>
      <c r="Y103" s="60">
        <v>0</v>
      </c>
      <c r="Z103" s="60">
        <v>0.65500000000000003</v>
      </c>
      <c r="AA103" s="60">
        <v>0.65500000000000003</v>
      </c>
      <c r="AB103" s="60">
        <v>1.6</v>
      </c>
      <c r="AC103" s="60" t="s">
        <v>372</v>
      </c>
      <c r="AD103" s="55">
        <v>41122</v>
      </c>
      <c r="AE103" s="78">
        <f t="shared" si="6"/>
        <v>100</v>
      </c>
      <c r="AF103" s="91"/>
    </row>
    <row r="104" spans="1:32" s="1" customFormat="1" ht="36.75" hidden="1" customHeight="1" x14ac:dyDescent="0.2">
      <c r="A104" s="83" t="s">
        <v>373</v>
      </c>
      <c r="B104" s="60">
        <v>0.65890000000000004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>
        <v>0</v>
      </c>
      <c r="U104" s="60">
        <v>0</v>
      </c>
      <c r="V104" s="60">
        <v>1.2563</v>
      </c>
      <c r="W104" s="60">
        <v>1.2563</v>
      </c>
      <c r="X104" s="60">
        <v>0.68530000000000002</v>
      </c>
      <c r="Y104" s="60">
        <v>0.68530000000000002</v>
      </c>
      <c r="Z104" s="60">
        <v>0.38869999999999999</v>
      </c>
      <c r="AA104" s="60">
        <v>0.38869999999999999</v>
      </c>
      <c r="AB104" s="60">
        <v>0.59</v>
      </c>
      <c r="AC104" s="55"/>
      <c r="AD104" s="55">
        <v>41091</v>
      </c>
      <c r="AE104" s="78">
        <f t="shared" si="6"/>
        <v>89.543178023979351</v>
      </c>
      <c r="AF104" s="91"/>
    </row>
    <row r="105" spans="1:32" s="1" customFormat="1" ht="36.75" hidden="1" customHeight="1" x14ac:dyDescent="0.3">
      <c r="A105" s="99" t="s">
        <v>368</v>
      </c>
      <c r="B105" s="60">
        <v>5.7865000000000002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>
        <v>0</v>
      </c>
      <c r="U105" s="60">
        <v>0</v>
      </c>
      <c r="V105" s="60">
        <v>5.1319999999999997</v>
      </c>
      <c r="W105" s="60">
        <v>5.1319999999999997</v>
      </c>
      <c r="X105" s="60">
        <v>5.3769999999999998</v>
      </c>
      <c r="Y105" s="60">
        <v>5.3769999999999998</v>
      </c>
      <c r="Z105" s="60">
        <v>6.11</v>
      </c>
      <c r="AA105" s="60">
        <v>6.11</v>
      </c>
      <c r="AB105" s="60">
        <v>5.5396000000000001</v>
      </c>
      <c r="AC105" s="60"/>
      <c r="AD105" s="55">
        <v>41091</v>
      </c>
      <c r="AE105" s="78">
        <f t="shared" si="6"/>
        <v>95.733172038365154</v>
      </c>
      <c r="AF105" s="23"/>
    </row>
    <row r="106" spans="1:32" s="1" customFormat="1" ht="36.75" hidden="1" customHeight="1" x14ac:dyDescent="0.2">
      <c r="A106" s="83" t="s">
        <v>374</v>
      </c>
      <c r="B106" s="60">
        <v>1.145</v>
      </c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>
        <v>0</v>
      </c>
      <c r="U106" s="60">
        <v>0</v>
      </c>
      <c r="V106" s="60">
        <v>1.3740000000000001</v>
      </c>
      <c r="W106" s="60">
        <v>1.3740000000000001</v>
      </c>
      <c r="X106" s="60">
        <v>0</v>
      </c>
      <c r="Y106" s="60">
        <v>0</v>
      </c>
      <c r="Z106" s="60">
        <v>0</v>
      </c>
      <c r="AA106" s="60">
        <v>0</v>
      </c>
      <c r="AB106" s="60">
        <v>1.145</v>
      </c>
      <c r="AC106" s="60"/>
      <c r="AD106" s="55">
        <v>40756</v>
      </c>
      <c r="AE106" s="78">
        <f t="shared" si="6"/>
        <v>100</v>
      </c>
      <c r="AF106" s="23"/>
    </row>
    <row r="107" spans="1:32" s="1" customFormat="1" ht="36.75" hidden="1" customHeight="1" x14ac:dyDescent="0.2">
      <c r="A107" s="83" t="s">
        <v>375</v>
      </c>
      <c r="B107" s="60">
        <v>0.79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>
        <v>0.93600000000000005</v>
      </c>
      <c r="U107" s="60">
        <v>0.93600000000000005</v>
      </c>
      <c r="V107" s="60">
        <v>0.93600000000000005</v>
      </c>
      <c r="W107" s="60">
        <v>0.93600000000000005</v>
      </c>
      <c r="X107" s="60">
        <v>0</v>
      </c>
      <c r="Y107" s="60">
        <v>0</v>
      </c>
      <c r="Z107" s="60">
        <v>0.13400000000000001</v>
      </c>
      <c r="AA107" s="60">
        <v>0.13400000000000001</v>
      </c>
      <c r="AB107" s="60">
        <v>0.53500000000000003</v>
      </c>
      <c r="AC107" s="60" t="s">
        <v>376</v>
      </c>
      <c r="AD107" s="55">
        <v>40749</v>
      </c>
      <c r="AE107" s="78">
        <f t="shared" si="6"/>
        <v>67.721518987341781</v>
      </c>
      <c r="AF107" s="23"/>
    </row>
    <row r="108" spans="1:32" s="1" customFormat="1" ht="36.75" hidden="1" customHeight="1" x14ac:dyDescent="0.25">
      <c r="A108" s="85" t="s">
        <v>258</v>
      </c>
      <c r="B108" s="60">
        <v>0.47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281" t="s">
        <v>377</v>
      </c>
      <c r="U108" s="281"/>
      <c r="V108" s="281"/>
      <c r="W108" s="281"/>
      <c r="X108" s="281"/>
      <c r="Y108" s="281"/>
      <c r="Z108" s="281"/>
      <c r="AA108" s="281"/>
      <c r="AB108" s="60">
        <v>0.26</v>
      </c>
      <c r="AC108" s="60" t="s">
        <v>378</v>
      </c>
      <c r="AD108" s="55">
        <v>40909</v>
      </c>
      <c r="AE108" s="78">
        <f t="shared" si="6"/>
        <v>55.319148936170215</v>
      </c>
      <c r="AF108" s="23"/>
    </row>
    <row r="109" spans="1:32" s="1" customFormat="1" ht="32.25" hidden="1" customHeight="1" x14ac:dyDescent="0.2">
      <c r="A109" s="20" t="s">
        <v>379</v>
      </c>
      <c r="B109" s="60">
        <f>(B110+B111)/2</f>
        <v>1.1850000000000001</v>
      </c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>
        <v>1.2569999999999999</v>
      </c>
      <c r="U109" s="60">
        <v>2.0790000000000002</v>
      </c>
      <c r="V109" s="60">
        <v>1.42</v>
      </c>
      <c r="W109" s="60">
        <v>1.44</v>
      </c>
      <c r="X109" s="60">
        <v>0.53300000000000003</v>
      </c>
      <c r="Y109" s="60">
        <v>1.29</v>
      </c>
      <c r="Z109" s="60">
        <f>(Z110+Z111)/2</f>
        <v>0</v>
      </c>
      <c r="AA109" s="60">
        <f>(AA110+AA111)/2</f>
        <v>0</v>
      </c>
      <c r="AB109" s="60">
        <f>(AB110+AB111)/2</f>
        <v>1.155</v>
      </c>
      <c r="AC109" s="60"/>
      <c r="AD109" s="55" t="s">
        <v>380</v>
      </c>
      <c r="AE109" s="78">
        <f t="shared" si="6"/>
        <v>97.468354430379748</v>
      </c>
      <c r="AF109" s="91"/>
    </row>
    <row r="110" spans="1:32" s="1" customFormat="1" ht="36.75" hidden="1" customHeight="1" x14ac:dyDescent="0.2">
      <c r="A110" s="102" t="s">
        <v>381</v>
      </c>
      <c r="B110" s="60">
        <v>1.07</v>
      </c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>
        <v>1.2569999999999999</v>
      </c>
      <c r="U110" s="60">
        <v>2.0790000000000002</v>
      </c>
      <c r="V110" s="60">
        <v>1.42</v>
      </c>
      <c r="W110" s="60">
        <v>1.42</v>
      </c>
      <c r="X110" s="60">
        <v>0.53300000000000003</v>
      </c>
      <c r="Y110" s="60">
        <v>0.54</v>
      </c>
      <c r="Z110" s="60">
        <v>0</v>
      </c>
      <c r="AA110" s="60">
        <v>0</v>
      </c>
      <c r="AB110" s="60">
        <v>1.02</v>
      </c>
      <c r="AC110" s="60" t="s">
        <v>382</v>
      </c>
      <c r="AD110" s="55">
        <v>40716</v>
      </c>
      <c r="AE110" s="78">
        <f t="shared" si="6"/>
        <v>95.327102803738313</v>
      </c>
      <c r="AF110" s="23"/>
    </row>
    <row r="111" spans="1:32" s="1" customFormat="1" ht="36.75" hidden="1" customHeight="1" x14ac:dyDescent="0.2">
      <c r="A111" s="83" t="s">
        <v>383</v>
      </c>
      <c r="B111" s="60">
        <v>1.3</v>
      </c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>
        <v>0</v>
      </c>
      <c r="U111" s="60">
        <v>0</v>
      </c>
      <c r="V111" s="60">
        <v>1.44</v>
      </c>
      <c r="W111" s="60">
        <v>1.44</v>
      </c>
      <c r="X111" s="60">
        <v>1.29</v>
      </c>
      <c r="Y111" s="60">
        <v>1.29</v>
      </c>
      <c r="Z111" s="60">
        <v>0</v>
      </c>
      <c r="AA111" s="60">
        <v>0</v>
      </c>
      <c r="AB111" s="60">
        <v>1.29</v>
      </c>
      <c r="AC111" s="60" t="s">
        <v>384</v>
      </c>
      <c r="AD111" s="55">
        <v>40809</v>
      </c>
      <c r="AE111" s="78">
        <f t="shared" si="6"/>
        <v>99.230769230769226</v>
      </c>
      <c r="AF111" s="23"/>
    </row>
    <row r="112" spans="1:32" s="1" customFormat="1" ht="36.75" hidden="1" customHeight="1" x14ac:dyDescent="0.25">
      <c r="A112" s="85" t="s">
        <v>65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78" t="e">
        <f t="shared" si="6"/>
        <v>#DIV/0!</v>
      </c>
      <c r="AF112" s="23"/>
    </row>
    <row r="113" spans="1:34" s="1" customFormat="1" ht="44.25" hidden="1" customHeight="1" x14ac:dyDescent="0.2">
      <c r="A113" s="20" t="s">
        <v>385</v>
      </c>
      <c r="B113" s="60">
        <f>B117</f>
        <v>0.88</v>
      </c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>
        <f t="shared" ref="T113:AC113" si="9">T117</f>
        <v>1.0820000000000001</v>
      </c>
      <c r="U113" s="60">
        <f t="shared" si="9"/>
        <v>1.1459999999999999</v>
      </c>
      <c r="V113" s="60">
        <f t="shared" si="9"/>
        <v>0.89700000000000002</v>
      </c>
      <c r="W113" s="60">
        <f t="shared" si="9"/>
        <v>1.3180000000000001</v>
      </c>
      <c r="X113" s="60">
        <f t="shared" si="9"/>
        <v>0</v>
      </c>
      <c r="Y113" s="60">
        <f t="shared" si="9"/>
        <v>0</v>
      </c>
      <c r="Z113" s="60">
        <f t="shared" si="9"/>
        <v>0</v>
      </c>
      <c r="AA113" s="60">
        <f t="shared" si="9"/>
        <v>0</v>
      </c>
      <c r="AB113" s="60">
        <f t="shared" si="9"/>
        <v>0.88</v>
      </c>
      <c r="AC113" s="60" t="str">
        <f t="shared" si="9"/>
        <v>№  207 від 29.12.2011</v>
      </c>
      <c r="AD113" s="55">
        <f>AD117</f>
        <v>40914</v>
      </c>
      <c r="AE113" s="78">
        <f t="shared" si="6"/>
        <v>100</v>
      </c>
      <c r="AF113" s="23"/>
    </row>
    <row r="114" spans="1:34" s="1" customFormat="1" ht="44.25" hidden="1" customHeight="1" x14ac:dyDescent="0.2">
      <c r="A114" s="102" t="s">
        <v>386</v>
      </c>
      <c r="B114" s="60">
        <v>0.88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>
        <v>0</v>
      </c>
      <c r="U114" s="60">
        <v>0</v>
      </c>
      <c r="V114" s="60">
        <v>0.9</v>
      </c>
      <c r="W114" s="60">
        <v>1.222</v>
      </c>
      <c r="X114" s="60">
        <v>0.9</v>
      </c>
      <c r="Y114" s="60">
        <v>1.222</v>
      </c>
      <c r="Z114" s="60">
        <v>0.9</v>
      </c>
      <c r="AA114" s="60">
        <v>1.222</v>
      </c>
      <c r="AB114" s="63">
        <v>0.88</v>
      </c>
      <c r="AC114" s="60"/>
      <c r="AD114" s="55">
        <v>41061</v>
      </c>
      <c r="AE114" s="78">
        <f t="shared" si="6"/>
        <v>100</v>
      </c>
      <c r="AF114" s="23"/>
    </row>
    <row r="115" spans="1:34" s="1" customFormat="1" ht="44.25" hidden="1" customHeight="1" x14ac:dyDescent="0.2">
      <c r="A115" s="102" t="s">
        <v>387</v>
      </c>
      <c r="B115" s="60">
        <v>1.1100000000000001</v>
      </c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>
        <v>0</v>
      </c>
      <c r="U115" s="60">
        <v>0</v>
      </c>
      <c r="V115" s="60">
        <v>1.33</v>
      </c>
      <c r="W115" s="60">
        <v>1.33</v>
      </c>
      <c r="X115" s="60"/>
      <c r="Y115" s="60"/>
      <c r="Z115" s="60">
        <v>0</v>
      </c>
      <c r="AA115" s="60">
        <v>0</v>
      </c>
      <c r="AB115" s="60">
        <v>1.1100000000000001</v>
      </c>
      <c r="AC115" s="60"/>
      <c r="AD115" s="55">
        <v>41699</v>
      </c>
      <c r="AE115" s="78">
        <f t="shared" si="6"/>
        <v>100</v>
      </c>
      <c r="AF115" s="23"/>
    </row>
    <row r="116" spans="1:34" s="1" customFormat="1" ht="44.25" hidden="1" customHeight="1" x14ac:dyDescent="0.3">
      <c r="A116" s="99" t="s">
        <v>388</v>
      </c>
      <c r="B116" s="60">
        <v>5.33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283">
        <v>6.4</v>
      </c>
      <c r="W116" s="285"/>
      <c r="X116" s="93"/>
      <c r="Y116" s="93"/>
      <c r="Z116" s="60"/>
      <c r="AA116" s="60"/>
      <c r="AB116" s="60">
        <v>5.33</v>
      </c>
      <c r="AC116" s="55"/>
      <c r="AD116" s="55">
        <v>41699</v>
      </c>
      <c r="AE116" s="78">
        <f t="shared" si="6"/>
        <v>100</v>
      </c>
      <c r="AF116" s="23"/>
    </row>
    <row r="117" spans="1:34" s="1" customFormat="1" ht="44.25" hidden="1" customHeight="1" x14ac:dyDescent="0.2">
      <c r="A117" s="102" t="s">
        <v>389</v>
      </c>
      <c r="B117" s="60">
        <v>0.88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93">
        <v>1.0820000000000001</v>
      </c>
      <c r="U117" s="60">
        <v>1.1459999999999999</v>
      </c>
      <c r="V117" s="60">
        <v>0.89700000000000002</v>
      </c>
      <c r="W117" s="60">
        <v>1.3180000000000001</v>
      </c>
      <c r="X117" s="60">
        <v>0</v>
      </c>
      <c r="Y117" s="60">
        <v>0</v>
      </c>
      <c r="Z117" s="60">
        <v>0</v>
      </c>
      <c r="AA117" s="60">
        <v>0</v>
      </c>
      <c r="AB117" s="60">
        <v>0.88</v>
      </c>
      <c r="AC117" s="60" t="s">
        <v>390</v>
      </c>
      <c r="AD117" s="55">
        <v>40914</v>
      </c>
      <c r="AE117" s="78">
        <f t="shared" si="6"/>
        <v>100</v>
      </c>
      <c r="AF117" s="23"/>
    </row>
    <row r="118" spans="1:34" s="1" customFormat="1" ht="44.25" hidden="1" customHeight="1" x14ac:dyDescent="0.3">
      <c r="A118" s="99" t="s">
        <v>391</v>
      </c>
      <c r="B118" s="60">
        <v>26.2</v>
      </c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93"/>
      <c r="U118" s="93"/>
      <c r="V118" s="281" t="s">
        <v>392</v>
      </c>
      <c r="W118" s="281"/>
      <c r="X118" s="281"/>
      <c r="Y118" s="281"/>
      <c r="Z118" s="281"/>
      <c r="AA118" s="281"/>
      <c r="AB118" s="60">
        <v>25.17</v>
      </c>
      <c r="AC118" s="60" t="s">
        <v>393</v>
      </c>
      <c r="AD118" s="55">
        <v>40909</v>
      </c>
      <c r="AE118" s="78">
        <f>AB118/B118*100</f>
        <v>96.068702290076345</v>
      </c>
      <c r="AF118" s="23"/>
    </row>
    <row r="119" spans="1:34" s="1" customFormat="1" ht="44.25" hidden="1" customHeight="1" x14ac:dyDescent="0.2">
      <c r="A119" s="102" t="s">
        <v>394</v>
      </c>
      <c r="B119" s="60">
        <v>0.7</v>
      </c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>
        <v>0</v>
      </c>
      <c r="U119" s="60">
        <v>0</v>
      </c>
      <c r="V119" s="60">
        <v>0.64</v>
      </c>
      <c r="W119" s="60">
        <v>1.25</v>
      </c>
      <c r="X119" s="60">
        <v>0.54600000000000004</v>
      </c>
      <c r="Y119" s="60">
        <v>0.73199999999999998</v>
      </c>
      <c r="Z119" s="60">
        <v>7.0000000000000007E-2</v>
      </c>
      <c r="AA119" s="60">
        <v>7.0000000000000007E-2</v>
      </c>
      <c r="AB119" s="60">
        <v>0.7</v>
      </c>
      <c r="AC119" s="60" t="s">
        <v>390</v>
      </c>
      <c r="AD119" s="55">
        <v>40913</v>
      </c>
      <c r="AE119" s="78">
        <f t="shared" si="6"/>
        <v>100</v>
      </c>
      <c r="AF119" s="23"/>
    </row>
    <row r="120" spans="1:34" s="1" customFormat="1" ht="44.25" hidden="1" customHeight="1" x14ac:dyDescent="0.2">
      <c r="A120" s="102" t="s">
        <v>395</v>
      </c>
      <c r="B120" s="60">
        <v>1.3</v>
      </c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>
        <v>1.39</v>
      </c>
      <c r="W120" s="60">
        <v>1.39</v>
      </c>
      <c r="X120" s="60">
        <v>1</v>
      </c>
      <c r="Y120" s="60">
        <v>1</v>
      </c>
      <c r="Z120" s="60">
        <v>0.62</v>
      </c>
      <c r="AA120" s="60">
        <v>0.62</v>
      </c>
      <c r="AB120" s="60">
        <v>1</v>
      </c>
      <c r="AC120" s="60" t="s">
        <v>396</v>
      </c>
      <c r="AD120" s="55">
        <v>40863</v>
      </c>
      <c r="AE120" s="78">
        <f t="shared" si="6"/>
        <v>76.92307692307692</v>
      </c>
      <c r="AF120" s="23"/>
    </row>
    <row r="121" spans="1:34" s="1" customFormat="1" ht="44.25" hidden="1" customHeight="1" x14ac:dyDescent="0.2">
      <c r="A121" s="102" t="s">
        <v>397</v>
      </c>
      <c r="B121" s="60">
        <v>0.8</v>
      </c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>
        <v>0</v>
      </c>
      <c r="U121" s="60">
        <v>0</v>
      </c>
      <c r="V121" s="60">
        <v>0.91</v>
      </c>
      <c r="W121" s="60">
        <v>0.91</v>
      </c>
      <c r="X121" s="60">
        <v>0.88</v>
      </c>
      <c r="Y121" s="60">
        <v>0.88</v>
      </c>
      <c r="Z121" s="60">
        <v>0</v>
      </c>
      <c r="AA121" s="60">
        <v>0</v>
      </c>
      <c r="AB121" s="60">
        <v>0.9</v>
      </c>
      <c r="AC121" s="60" t="s">
        <v>398</v>
      </c>
      <c r="AD121" s="55">
        <v>40996</v>
      </c>
      <c r="AE121" s="78">
        <f t="shared" si="6"/>
        <v>112.5</v>
      </c>
      <c r="AF121" s="23"/>
    </row>
    <row r="122" spans="1:34" s="1" customFormat="1" ht="44.25" hidden="1" customHeight="1" x14ac:dyDescent="0.3">
      <c r="A122" s="99" t="s">
        <v>399</v>
      </c>
      <c r="B122" s="60">
        <v>3.67</v>
      </c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93"/>
      <c r="U122" s="93"/>
      <c r="V122" s="281" t="s">
        <v>400</v>
      </c>
      <c r="W122" s="281"/>
      <c r="X122" s="281"/>
      <c r="Y122" s="281"/>
      <c r="Z122" s="281"/>
      <c r="AA122" s="281"/>
      <c r="AB122" s="60">
        <v>4.08</v>
      </c>
      <c r="AC122" s="60" t="s">
        <v>401</v>
      </c>
      <c r="AD122" s="55">
        <v>41122</v>
      </c>
      <c r="AE122" s="78">
        <f>AB122/B122*100</f>
        <v>111.1716621253406</v>
      </c>
      <c r="AF122" s="23"/>
    </row>
    <row r="123" spans="1:34" s="1" customFormat="1" ht="44.25" hidden="1" customHeight="1" x14ac:dyDescent="0.2">
      <c r="A123" s="102" t="s">
        <v>402</v>
      </c>
      <c r="B123" s="60">
        <v>0.48</v>
      </c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>
        <v>0.48</v>
      </c>
      <c r="Y123" s="60">
        <v>0.48</v>
      </c>
      <c r="Z123" s="93"/>
      <c r="AA123" s="93"/>
      <c r="AB123" s="60">
        <v>0.48</v>
      </c>
      <c r="AC123" s="60"/>
      <c r="AD123" s="55">
        <v>40940</v>
      </c>
      <c r="AE123" s="78">
        <f t="shared" si="6"/>
        <v>100</v>
      </c>
      <c r="AF123" s="103"/>
      <c r="AG123" s="64"/>
      <c r="AH123" s="30"/>
    </row>
    <row r="124" spans="1:34" s="1" customFormat="1" ht="61.9" hidden="1" customHeight="1" x14ac:dyDescent="0.2">
      <c r="A124" s="20" t="s">
        <v>403</v>
      </c>
      <c r="B124" s="60">
        <v>1.2889999999999999</v>
      </c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>
        <v>0</v>
      </c>
      <c r="U124" s="60">
        <v>0</v>
      </c>
      <c r="V124" s="60">
        <v>1.1299999999999999</v>
      </c>
      <c r="W124" s="60">
        <v>1.84</v>
      </c>
      <c r="X124" s="60">
        <v>0</v>
      </c>
      <c r="Y124" s="60">
        <v>0</v>
      </c>
      <c r="Z124" s="60">
        <v>0.52</v>
      </c>
      <c r="AA124" s="60">
        <v>0.96</v>
      </c>
      <c r="AB124" s="60">
        <v>1.155</v>
      </c>
      <c r="AC124" s="60" t="s">
        <v>404</v>
      </c>
      <c r="AD124" s="55">
        <v>41122</v>
      </c>
      <c r="AE124" s="78">
        <f t="shared" si="6"/>
        <v>89.6043444530644</v>
      </c>
      <c r="AF124" s="23"/>
    </row>
    <row r="125" spans="1:34" s="1" customFormat="1" ht="36.75" hidden="1" customHeight="1" x14ac:dyDescent="0.2">
      <c r="A125" s="83" t="s">
        <v>60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>
        <v>0</v>
      </c>
      <c r="U125" s="60">
        <v>0</v>
      </c>
      <c r="V125" s="60">
        <v>0.98</v>
      </c>
      <c r="W125" s="60">
        <v>0.98</v>
      </c>
      <c r="X125" s="60">
        <v>0</v>
      </c>
      <c r="Y125" s="60">
        <v>0</v>
      </c>
      <c r="Z125" s="60">
        <v>0.7</v>
      </c>
      <c r="AA125" s="60">
        <v>0.7</v>
      </c>
      <c r="AB125" s="60"/>
      <c r="AC125" s="60" t="s">
        <v>405</v>
      </c>
      <c r="AD125" s="55">
        <v>40452</v>
      </c>
      <c r="AE125" s="78" t="e">
        <f t="shared" si="6"/>
        <v>#DIV/0!</v>
      </c>
      <c r="AF125" s="23"/>
    </row>
    <row r="126" spans="1:34" s="1" customFormat="1" ht="36.75" hidden="1" customHeight="1" x14ac:dyDescent="0.25">
      <c r="A126" s="85" t="s">
        <v>258</v>
      </c>
      <c r="B126" s="60">
        <v>6.157</v>
      </c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>
        <v>0</v>
      </c>
      <c r="U126" s="60">
        <v>0</v>
      </c>
      <c r="V126" s="281">
        <v>5.75</v>
      </c>
      <c r="W126" s="281"/>
      <c r="X126" s="60">
        <v>0</v>
      </c>
      <c r="Y126" s="60">
        <v>0</v>
      </c>
      <c r="Z126" s="281">
        <v>5.55</v>
      </c>
      <c r="AA126" s="281"/>
      <c r="AB126" s="60">
        <v>4.79</v>
      </c>
      <c r="AC126" s="60" t="s">
        <v>406</v>
      </c>
      <c r="AD126" s="55">
        <v>40909</v>
      </c>
      <c r="AE126" s="78">
        <f t="shared" si="6"/>
        <v>77.797628715283423</v>
      </c>
      <c r="AF126" s="23"/>
    </row>
    <row r="127" spans="1:34" s="1" customFormat="1" ht="61.9" hidden="1" customHeight="1" x14ac:dyDescent="0.2">
      <c r="A127" s="20" t="s">
        <v>407</v>
      </c>
      <c r="B127" s="60">
        <v>1.48</v>
      </c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>
        <v>0</v>
      </c>
      <c r="U127" s="60">
        <v>0</v>
      </c>
      <c r="V127" s="60">
        <v>1.57</v>
      </c>
      <c r="W127" s="60">
        <v>2.14</v>
      </c>
      <c r="X127" s="60">
        <v>0</v>
      </c>
      <c r="Y127" s="60">
        <v>0</v>
      </c>
      <c r="Z127" s="60">
        <v>0.5</v>
      </c>
      <c r="AA127" s="60">
        <v>1.39</v>
      </c>
      <c r="AB127" s="60">
        <v>1.34</v>
      </c>
      <c r="AC127" s="60" t="s">
        <v>408</v>
      </c>
      <c r="AD127" s="55">
        <v>41518</v>
      </c>
      <c r="AE127" s="78">
        <f t="shared" si="6"/>
        <v>90.540540540540547</v>
      </c>
      <c r="AF127" s="23"/>
    </row>
    <row r="128" spans="1:34" s="1" customFormat="1" ht="31.5" customHeight="1" x14ac:dyDescent="0.2">
      <c r="A128" s="104"/>
      <c r="AF128" s="23"/>
    </row>
    <row r="129" spans="1:32" s="1" customFormat="1" x14ac:dyDescent="0.2">
      <c r="A129" s="104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AB129" s="105"/>
      <c r="AF129" s="23"/>
    </row>
    <row r="130" spans="1:32" s="1" customFormat="1" x14ac:dyDescent="0.2">
      <c r="A130" s="106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AB130" s="105"/>
      <c r="AF130" s="23"/>
    </row>
  </sheetData>
  <mergeCells count="40">
    <mergeCell ref="Z3:AA3"/>
    <mergeCell ref="AB3:AB4"/>
    <mergeCell ref="AC3:AC4"/>
    <mergeCell ref="AD3:AD4"/>
    <mergeCell ref="AE3:AE4"/>
    <mergeCell ref="N68:N69"/>
    <mergeCell ref="T10:Y10"/>
    <mergeCell ref="A3:A4"/>
    <mergeCell ref="B3:B4"/>
    <mergeCell ref="C3:H3"/>
    <mergeCell ref="I3:N3"/>
    <mergeCell ref="O3:O4"/>
    <mergeCell ref="P3:Q3"/>
    <mergeCell ref="T3:U3"/>
    <mergeCell ref="V3:W3"/>
    <mergeCell ref="X3:Y3"/>
    <mergeCell ref="V126:W126"/>
    <mergeCell ref="Z126:AA126"/>
    <mergeCell ref="T92:AA92"/>
    <mergeCell ref="T96:AA96"/>
    <mergeCell ref="T99:AA99"/>
    <mergeCell ref="V101:AA101"/>
    <mergeCell ref="T108:AA108"/>
    <mergeCell ref="V116:W116"/>
    <mergeCell ref="A2:Q2"/>
    <mergeCell ref="AF81:AF82"/>
    <mergeCell ref="V83:Y83"/>
    <mergeCell ref="V118:AA118"/>
    <mergeCell ref="V122:AA122"/>
    <mergeCell ref="T85:AA85"/>
    <mergeCell ref="T16:AA16"/>
    <mergeCell ref="B28:AE28"/>
    <mergeCell ref="V33:Y33"/>
    <mergeCell ref="T40:U40"/>
    <mergeCell ref="T41:AA41"/>
    <mergeCell ref="I49:L49"/>
    <mergeCell ref="T49:AA49"/>
    <mergeCell ref="T58:AA58"/>
    <mergeCell ref="T74:AA74"/>
    <mergeCell ref="T80:AA80"/>
  </mergeCells>
  <conditionalFormatting sqref="B3:B5">
    <cfRule type="cellIs" dxfId="0" priority="1" stopIfTrue="1" operator="greaterThan">
      <formula>0</formula>
    </cfRule>
  </conditionalFormatting>
  <pageMargins left="0" right="0" top="0" bottom="0" header="0" footer="0"/>
  <pageSetup paperSize="9" scale="50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тепло</vt:lpstr>
      <vt:lpstr>вода</vt:lpstr>
      <vt:lpstr>ЦПВХ</vt:lpstr>
      <vt:lpstr>ЦВ (з ВБС)</vt:lpstr>
      <vt:lpstr>стоки</vt:lpstr>
      <vt:lpstr>жилье</vt:lpstr>
      <vt:lpstr>жилье мое</vt:lpstr>
      <vt:lpstr>жилье!Заголовки_для_печати</vt:lpstr>
      <vt:lpstr>вода!Область_печати</vt:lpstr>
      <vt:lpstr>жилье!Область_печати</vt:lpstr>
      <vt:lpstr>'жилье мое'!Область_печати</vt:lpstr>
      <vt:lpstr>стоки!Область_печати</vt:lpstr>
      <vt:lpstr>тепло!Область_печати</vt:lpstr>
      <vt:lpstr>'ЦВ (з ВБС)'!Область_печати</vt:lpstr>
      <vt:lpstr>ЦПВХ!Область_печати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</cp:lastModifiedBy>
  <cp:lastPrinted>2018-03-02T11:24:54Z</cp:lastPrinted>
  <dcterms:created xsi:type="dcterms:W3CDTF">2014-06-10T17:13:42Z</dcterms:created>
  <dcterms:modified xsi:type="dcterms:W3CDTF">2018-03-06T10:22:49Z</dcterms:modified>
</cp:coreProperties>
</file>